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jmaster7/Documents/Pompano Workshop January 2023 /For Website/"/>
    </mc:Choice>
  </mc:AlternateContent>
  <xr:revisionPtr revIDLastSave="0" documentId="13_ncr:1_{3706E494-30B7-EB40-8B4D-E53D72C38845}" xr6:coauthVersionLast="47" xr6:coauthVersionMax="47" xr10:uidLastSave="{00000000-0000-0000-0000-000000000000}"/>
  <bookViews>
    <workbookView xWindow="74300" yWindow="420" windowWidth="25200" windowHeight="14480" firstSheet="1" activeTab="2" xr2:uid="{00000000-000D-0000-FFFF-FFFF00000000}"/>
  </bookViews>
  <sheets>
    <sheet name="Assumptions" sheetId="14" r:id="rId1"/>
    <sheet name="General Parameters" sheetId="1" r:id="rId2"/>
    <sheet name="Study Results" sheetId="17" r:id="rId3"/>
    <sheet name="Capital Costs" sheetId="7" r:id="rId4"/>
    <sheet name="Equipment" sheetId="6" r:id="rId5"/>
    <sheet name="Equip Data" sheetId="5" r:id="rId6"/>
  </sheets>
  <calcPr calcId="191029"/>
  <pivotCaches>
    <pivotCache cacheId="1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7" l="1"/>
  <c r="I119" i="17"/>
  <c r="G41" i="17" l="1"/>
  <c r="H41" i="17"/>
  <c r="F41" i="17"/>
  <c r="E41" i="17"/>
  <c r="E34" i="1" l="1"/>
  <c r="F12" i="1" s="1"/>
  <c r="I14" i="1"/>
  <c r="G5" i="17" l="1"/>
  <c r="H59" i="17" l="1"/>
  <c r="H60" i="17" s="1"/>
  <c r="G59" i="17"/>
  <c r="G60" i="17" s="1"/>
  <c r="F59" i="17"/>
  <c r="F60" i="17" s="1"/>
  <c r="E59" i="17"/>
  <c r="E60" i="17" s="1"/>
  <c r="I56" i="17"/>
  <c r="I55" i="17"/>
  <c r="I54" i="17"/>
  <c r="I53" i="17"/>
  <c r="E62" i="17"/>
  <c r="I12" i="17" l="1"/>
  <c r="F62" i="17" l="1"/>
  <c r="G62" i="17"/>
  <c r="G64" i="17" s="1"/>
  <c r="H43" i="17"/>
  <c r="H73" i="17" s="1"/>
  <c r="G43" i="17"/>
  <c r="H72" i="17"/>
  <c r="J7" i="17"/>
  <c r="I7" i="17"/>
  <c r="E155" i="17" l="1"/>
  <c r="G155" i="17" s="1"/>
  <c r="I120" i="17"/>
  <c r="C111" i="17"/>
  <c r="C110" i="17"/>
  <c r="C109" i="17"/>
  <c r="C108" i="17"/>
  <c r="C107" i="17"/>
  <c r="H62" i="17"/>
  <c r="H64" i="17" s="1"/>
  <c r="F64" i="17"/>
  <c r="E64" i="17"/>
  <c r="G73" i="17"/>
  <c r="I73" i="17" s="1"/>
  <c r="G72" i="17"/>
  <c r="F72" i="17"/>
  <c r="E72" i="17"/>
  <c r="I72" i="17" l="1"/>
  <c r="I62" i="17"/>
  <c r="G146" i="17" s="1"/>
  <c r="I121" i="17" s="1"/>
  <c r="I64" i="17" l="1"/>
  <c r="H148" i="17"/>
  <c r="H147" i="17"/>
  <c r="I175" i="17" s="1"/>
  <c r="I111" i="17"/>
  <c r="I112" i="17"/>
  <c r="H149" i="17" l="1"/>
  <c r="I151" i="17"/>
  <c r="I168" i="17" s="1"/>
  <c r="I122" i="17"/>
  <c r="I60" i="17" l="1"/>
  <c r="E156" i="17" s="1"/>
  <c r="G156" i="17" s="1"/>
  <c r="G157" i="17" s="1"/>
  <c r="H159" i="17" l="1"/>
  <c r="H158" i="17"/>
  <c r="I176" i="17" s="1"/>
  <c r="I162" i="17"/>
  <c r="I169" i="17" s="1"/>
  <c r="I170" i="17" s="1"/>
  <c r="I177" i="17" l="1"/>
  <c r="L3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" i="7"/>
  <c r="L27" i="7" s="1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I2" i="7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L31" i="7" l="1"/>
  <c r="I28" i="7"/>
  <c r="H27" i="5"/>
  <c r="K31" i="7"/>
  <c r="K27" i="7"/>
  <c r="I4" i="1" l="1"/>
  <c r="I5" i="1"/>
  <c r="J4" i="1"/>
  <c r="J5" i="1"/>
  <c r="J6" i="1"/>
  <c r="J3" i="1"/>
  <c r="I3" i="1"/>
  <c r="I105" i="17" l="1"/>
  <c r="J20" i="17"/>
  <c r="I126" i="17" s="1"/>
  <c r="H25" i="17"/>
  <c r="H93" i="17" l="1"/>
  <c r="H92" i="17"/>
  <c r="I93" i="17"/>
  <c r="H88" i="17"/>
  <c r="H29" i="17"/>
  <c r="I92" i="17"/>
  <c r="H33" i="17" l="1"/>
  <c r="H23" i="17"/>
  <c r="H83" i="17" l="1"/>
  <c r="H22" i="17"/>
  <c r="H82" i="17"/>
  <c r="H78" i="17"/>
  <c r="I82" i="17"/>
  <c r="I83" i="17"/>
  <c r="H37" i="17"/>
  <c r="H49" i="17" s="1"/>
  <c r="H34" i="17"/>
  <c r="G23" i="17" l="1"/>
  <c r="H26" i="17"/>
  <c r="H35" i="17"/>
  <c r="H39" i="17" s="1"/>
  <c r="H71" i="17" s="1"/>
  <c r="H38" i="17"/>
  <c r="H27" i="17" l="1"/>
  <c r="H69" i="17" s="1"/>
  <c r="H30" i="17"/>
  <c r="H91" i="17"/>
  <c r="H81" i="17"/>
  <c r="G83" i="17"/>
  <c r="G25" i="17"/>
  <c r="G78" i="17"/>
  <c r="G82" i="17"/>
  <c r="G22" i="17"/>
  <c r="F23" i="17" s="1"/>
  <c r="G92" i="17" l="1"/>
  <c r="G29" i="17"/>
  <c r="G33" i="17" s="1"/>
  <c r="G93" i="17"/>
  <c r="G88" i="17"/>
  <c r="G26" i="17"/>
  <c r="G27" i="17" s="1"/>
  <c r="F22" i="17"/>
  <c r="E23" i="17" s="1"/>
  <c r="F82" i="17"/>
  <c r="F25" i="17"/>
  <c r="F78" i="17"/>
  <c r="H70" i="17"/>
  <c r="H31" i="17"/>
  <c r="E82" i="17" l="1"/>
  <c r="E25" i="17"/>
  <c r="E22" i="17"/>
  <c r="H89" i="17"/>
  <c r="H79" i="17"/>
  <c r="H75" i="17"/>
  <c r="G30" i="17"/>
  <c r="H80" i="17"/>
  <c r="H90" i="17"/>
  <c r="G34" i="17"/>
  <c r="G37" i="17"/>
  <c r="G49" i="17" s="1"/>
  <c r="F88" i="17"/>
  <c r="F29" i="17"/>
  <c r="F33" i="17" s="1"/>
  <c r="F26" i="17"/>
  <c r="F92" i="17"/>
  <c r="H95" i="17" l="1"/>
  <c r="H85" i="17"/>
  <c r="E68" i="17"/>
  <c r="E26" i="17"/>
  <c r="E29" i="17"/>
  <c r="E33" i="17" s="1"/>
  <c r="E92" i="17"/>
  <c r="F34" i="17"/>
  <c r="F37" i="17"/>
  <c r="F49" i="17" s="1"/>
  <c r="G69" i="17"/>
  <c r="G70" i="17"/>
  <c r="G31" i="17"/>
  <c r="G38" i="17"/>
  <c r="G35" i="17"/>
  <c r="G39" i="17" s="1"/>
  <c r="G71" i="17" s="1"/>
  <c r="F27" i="17"/>
  <c r="F69" i="17" s="1"/>
  <c r="F30" i="17"/>
  <c r="F38" i="17" l="1"/>
  <c r="F35" i="17"/>
  <c r="F39" i="17" s="1"/>
  <c r="F71" i="17" s="1"/>
  <c r="E27" i="17"/>
  <c r="E30" i="17"/>
  <c r="E37" i="17"/>
  <c r="E49" i="17" s="1"/>
  <c r="E34" i="17"/>
  <c r="F70" i="17"/>
  <c r="F31" i="17"/>
  <c r="G90" i="17"/>
  <c r="G80" i="17"/>
  <c r="G91" i="17"/>
  <c r="G81" i="17"/>
  <c r="G75" i="17"/>
  <c r="G79" i="17"/>
  <c r="G89" i="17"/>
  <c r="E88" i="17"/>
  <c r="I68" i="17"/>
  <c r="E78" i="17"/>
  <c r="G85" i="17" l="1"/>
  <c r="E31" i="17"/>
  <c r="E69" i="17" s="1"/>
  <c r="G95" i="17"/>
  <c r="F89" i="17"/>
  <c r="F75" i="17"/>
  <c r="F79" i="17"/>
  <c r="F80" i="17"/>
  <c r="F90" i="17"/>
  <c r="E70" i="17"/>
  <c r="E35" i="17"/>
  <c r="E39" i="17" s="1"/>
  <c r="E71" i="17" s="1"/>
  <c r="E38" i="17"/>
  <c r="F91" i="17"/>
  <c r="F81" i="17"/>
  <c r="I78" i="17"/>
  <c r="I88" i="17"/>
  <c r="I107" i="17"/>
  <c r="E75" i="17" l="1"/>
  <c r="G76" i="17" s="1"/>
  <c r="E79" i="17"/>
  <c r="E89" i="17"/>
  <c r="I69" i="17"/>
  <c r="E81" i="17"/>
  <c r="E91" i="17"/>
  <c r="I71" i="17"/>
  <c r="F85" i="17"/>
  <c r="E90" i="17"/>
  <c r="E80" i="17"/>
  <c r="I70" i="17"/>
  <c r="F95" i="17"/>
  <c r="I89" i="17" l="1"/>
  <c r="I108" i="17"/>
  <c r="I79" i="17"/>
  <c r="I75" i="17"/>
  <c r="I81" i="17"/>
  <c r="I110" i="17"/>
  <c r="I91" i="17"/>
  <c r="I90" i="17"/>
  <c r="I109" i="17"/>
  <c r="I80" i="17"/>
  <c r="E95" i="17"/>
  <c r="E85" i="17"/>
  <c r="H160" i="17" l="1"/>
  <c r="I113" i="17"/>
  <c r="I115" i="17" s="1"/>
  <c r="I124" i="17" s="1"/>
  <c r="I166" i="17" s="1"/>
  <c r="I172" i="17" s="1"/>
  <c r="I85" i="17"/>
  <c r="I95" i="17"/>
</calcChain>
</file>

<file path=xl/sharedStrings.xml><?xml version="1.0" encoding="utf-8"?>
<sst xmlns="http://schemas.openxmlformats.org/spreadsheetml/2006/main" count="501" uniqueCount="225">
  <si>
    <t>Base Rates</t>
  </si>
  <si>
    <t>Water</t>
  </si>
  <si>
    <t>Electric</t>
  </si>
  <si>
    <t>Oxygen</t>
  </si>
  <si>
    <t>KW</t>
  </si>
  <si>
    <t>Gal</t>
  </si>
  <si>
    <t>Conversions</t>
  </si>
  <si>
    <t>Cubic Ft to Cubic Meters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</si>
  <si>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</si>
  <si>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Conv m3 to gallons</t>
  </si>
  <si>
    <t>Convert HP to KW</t>
  </si>
  <si>
    <t>System Parameters</t>
  </si>
  <si>
    <t>Water loss per day</t>
  </si>
  <si>
    <t>Tank volume to system ratio</t>
  </si>
  <si>
    <t>Stocking Density</t>
  </si>
  <si>
    <t>lb to g conversion factor</t>
  </si>
  <si>
    <t>(a)</t>
  </si>
  <si>
    <t>(b)</t>
  </si>
  <si>
    <t>(a)-&gt;(b)</t>
  </si>
  <si>
    <t>(b)-&gt;(a)</t>
  </si>
  <si>
    <t>Stage Parameter</t>
  </si>
  <si>
    <t># of Stages</t>
  </si>
  <si>
    <t>Initial weight</t>
  </si>
  <si>
    <t>Harvest weight</t>
  </si>
  <si>
    <t>Stage 1</t>
  </si>
  <si>
    <t>Stage 2</t>
  </si>
  <si>
    <t>Stage 3</t>
  </si>
  <si>
    <t>g</t>
  </si>
  <si>
    <t>Unit</t>
  </si>
  <si>
    <t>Production Cycle</t>
  </si>
  <si>
    <t>Days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</si>
  <si>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</si>
  <si>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FCR</t>
  </si>
  <si>
    <t>Survival Rate</t>
  </si>
  <si>
    <t>%</t>
  </si>
  <si>
    <t>Monthly Production</t>
  </si>
  <si>
    <t>lb</t>
  </si>
  <si>
    <t>Eggs</t>
  </si>
  <si>
    <t>ea</t>
  </si>
  <si>
    <t>Rate</t>
  </si>
  <si>
    <t>Feed Type</t>
  </si>
  <si>
    <t>Initial Fish Count</t>
  </si>
  <si>
    <t>Final Fish Count</t>
  </si>
  <si>
    <t>Feed to Purchase</t>
  </si>
  <si>
    <t>lbs</t>
  </si>
  <si>
    <t>Final Fish</t>
  </si>
  <si>
    <t>kg</t>
  </si>
  <si>
    <t xml:space="preserve">Feed to Purchase </t>
  </si>
  <si>
    <t>Feed</t>
  </si>
  <si>
    <t>Total</t>
  </si>
  <si>
    <t>per</t>
  </si>
  <si>
    <t>System Water Requirement</t>
  </si>
  <si>
    <t>Cycle Water Loss</t>
  </si>
  <si>
    <t>Tank(s) Water Requirement</t>
  </si>
  <si>
    <r>
      <t>kg/m</t>
    </r>
    <r>
      <rPr>
        <vertAlign val="superscript"/>
        <sz val="11"/>
        <color theme="1"/>
        <rFont val="Calibri"/>
        <family val="2"/>
        <scheme val="minor"/>
      </rPr>
      <t>3</t>
    </r>
  </si>
  <si>
    <t>gal</t>
  </si>
  <si>
    <t>KW used per Production Cycle</t>
  </si>
  <si>
    <t>Cost per Fish</t>
  </si>
  <si>
    <t>Change in Biomass</t>
  </si>
  <si>
    <t>Tank</t>
  </si>
  <si>
    <t>Plumbing</t>
  </si>
  <si>
    <t>Low</t>
  </si>
  <si>
    <t>H5</t>
  </si>
  <si>
    <t>Pump</t>
  </si>
  <si>
    <t>1.5 hp Axial Flow Pump</t>
  </si>
  <si>
    <t>Carry Mfg</t>
  </si>
  <si>
    <t>Filter</t>
  </si>
  <si>
    <t>10'x10'x4' biofilter w/ 4 2.5'x8' chambers and integrated 2'x10' sump</t>
  </si>
  <si>
    <t>American Fiberglass</t>
  </si>
  <si>
    <t>8" Air diffusers (for Biofilter)</t>
  </si>
  <si>
    <t>AES</t>
  </si>
  <si>
    <t>MB3 Biomedia</t>
  </si>
  <si>
    <t>W-M-T</t>
  </si>
  <si>
    <t>Sterilizer</t>
  </si>
  <si>
    <t>520 Watt UV sterilizer</t>
  </si>
  <si>
    <t>Emperor Aquatics</t>
  </si>
  <si>
    <t>7.8 cuM Culture Tanks with Cornell style dual drains</t>
  </si>
  <si>
    <t>Roland Fiberglass</t>
  </si>
  <si>
    <t>Anti vortex stand pipes</t>
  </si>
  <si>
    <t>Alchem Industries</t>
  </si>
  <si>
    <t>36 inch Wave Vortex Chambers</t>
  </si>
  <si>
    <t>Diverter box</t>
  </si>
  <si>
    <t>multiple</t>
  </si>
  <si>
    <t>Hydrotech model 810 microscreen drum filter</t>
  </si>
  <si>
    <t>PS150 Protein Skimmer</t>
  </si>
  <si>
    <t>Solar Components Inc</t>
  </si>
  <si>
    <t>SHE 3.0 water pump</t>
  </si>
  <si>
    <t xml:space="preserve">Delzone EC416 Ozone Generator w/ accessory kit w/ mazzei injector </t>
  </si>
  <si>
    <t>Monitors</t>
  </si>
  <si>
    <t>solenoid timer</t>
  </si>
  <si>
    <t>Oxy/CO2</t>
  </si>
  <si>
    <t>1/2" large orifice solenoid valve</t>
  </si>
  <si>
    <t>solenoid valve</t>
  </si>
  <si>
    <t>Hanna Instruments ORP controller</t>
  </si>
  <si>
    <t>Oxygen Mass Flow Meter w/ Totalizer</t>
  </si>
  <si>
    <t>Regal Brown</t>
  </si>
  <si>
    <t>Totalizing water meters</t>
  </si>
  <si>
    <t>DV controls</t>
  </si>
  <si>
    <t>Micropore diffusers</t>
  </si>
  <si>
    <t>Point4</t>
  </si>
  <si>
    <t>3/4" Float valves</t>
  </si>
  <si>
    <t>Auger Feeders</t>
  </si>
  <si>
    <t>S63 regenerative blowers</t>
  </si>
  <si>
    <t>Oxygen Monitor/Control system</t>
  </si>
  <si>
    <t>Count</t>
  </si>
  <si>
    <t>Type</t>
  </si>
  <si>
    <t>Desc</t>
  </si>
  <si>
    <t>Tanks</t>
  </si>
  <si>
    <t>Pressure</t>
  </si>
  <si>
    <t>Manuf</t>
  </si>
  <si>
    <t>Cost ea</t>
  </si>
  <si>
    <t>Cost tank</t>
  </si>
  <si>
    <t>Grand Total</t>
  </si>
  <si>
    <t>Sum of Cost ea</t>
  </si>
  <si>
    <t>Values</t>
  </si>
  <si>
    <t>Sum of Total Cost</t>
  </si>
  <si>
    <t>Head</t>
  </si>
  <si>
    <t>System</t>
  </si>
  <si>
    <t>Quantity</t>
  </si>
  <si>
    <t>Description</t>
  </si>
  <si>
    <t>used by #</t>
  </si>
  <si>
    <t>Supplier</t>
  </si>
  <si>
    <t>Unit cost</t>
  </si>
  <si>
    <t>Total Cost</t>
  </si>
  <si>
    <t>Lifespan</t>
  </si>
  <si>
    <t>Tank Cost</t>
  </si>
  <si>
    <t>System Cost</t>
  </si>
  <si>
    <t>Cost per Lb</t>
  </si>
  <si>
    <t>Total Calculated Costs</t>
  </si>
  <si>
    <t>Tanks Needed</t>
  </si>
  <si>
    <t>Tank Options</t>
  </si>
  <si>
    <t>Small-4'10" x 3'</t>
  </si>
  <si>
    <t>Med 10' x 3'6"</t>
  </si>
  <si>
    <t>Systems needed to support</t>
  </si>
  <si>
    <t>tk per cycle</t>
  </si>
  <si>
    <t>Sales price whole per lb</t>
  </si>
  <si>
    <t>Annual Revenue</t>
  </si>
  <si>
    <t>Sales</t>
  </si>
  <si>
    <t>Gross Margin</t>
  </si>
  <si>
    <t>Manager</t>
  </si>
  <si>
    <t>#</t>
  </si>
  <si>
    <t>Less:  Variable Costs</t>
  </si>
  <si>
    <t>Land</t>
  </si>
  <si>
    <t>Building</t>
  </si>
  <si>
    <t>Total Variable</t>
  </si>
  <si>
    <t xml:space="preserve">Total </t>
  </si>
  <si>
    <t>Sq Ft per system</t>
  </si>
  <si>
    <t>Cost per System</t>
  </si>
  <si>
    <t>Total Sq Ft needed</t>
  </si>
  <si>
    <t>Sq Ft</t>
  </si>
  <si>
    <t>Annual</t>
  </si>
  <si>
    <t>Overhead Costs</t>
  </si>
  <si>
    <t>Annual Production in Lbs</t>
  </si>
  <si>
    <t>Hours</t>
  </si>
  <si>
    <t>Transfer / Harvest Staff Labor</t>
  </si>
  <si>
    <t>Full Time Employees per system</t>
  </si>
  <si>
    <t># Systems</t>
  </si>
  <si>
    <t>Staff</t>
  </si>
  <si>
    <t>Harvest Labor</t>
  </si>
  <si>
    <t xml:space="preserve">           Harvest Labor</t>
  </si>
  <si>
    <t>Acres</t>
  </si>
  <si>
    <t>Business Evaluation</t>
  </si>
  <si>
    <t># Months</t>
  </si>
  <si>
    <t>Interest Rate</t>
  </si>
  <si>
    <t>Years</t>
  </si>
  <si>
    <t>Equipment Term</t>
  </si>
  <si>
    <t>Real Property Term</t>
  </si>
  <si>
    <t>Real Property Interest Rate</t>
  </si>
  <si>
    <t>Loan Assumptions:</t>
  </si>
  <si>
    <t>Equipment</t>
  </si>
  <si>
    <t>Real Property</t>
  </si>
  <si>
    <t>Cycle</t>
  </si>
  <si>
    <t>Acres needed per System</t>
  </si>
  <si>
    <t>Volume Discount</t>
  </si>
  <si>
    <t>System Maintenance</t>
  </si>
  <si>
    <t>Assumptions</t>
  </si>
  <si>
    <t>Fish will be sold whole</t>
  </si>
  <si>
    <t>Fish will be sold FOB the Farm</t>
  </si>
  <si>
    <t>Large - 25' x 6'</t>
  </si>
  <si>
    <t>No time is added for purging off flavor</t>
  </si>
  <si>
    <t>Stage 4</t>
  </si>
  <si>
    <t>Full Salinity</t>
  </si>
  <si>
    <t>Salinity</t>
  </si>
  <si>
    <t>ppt</t>
  </si>
  <si>
    <t>Larval - 4'8" x 2'</t>
  </si>
  <si>
    <t>Total Gallons</t>
  </si>
  <si>
    <t>Operating Income</t>
  </si>
  <si>
    <t>Stage 2 Feed Cost</t>
  </si>
  <si>
    <t>Stage 3 Feed Cost</t>
  </si>
  <si>
    <t>Per 50lb bag</t>
  </si>
  <si>
    <t>Cost per kg</t>
  </si>
  <si>
    <t>Stage 1 Feed &amp; Sup Cost</t>
  </si>
  <si>
    <t>Feed and Supples(excluding eggs)</t>
  </si>
  <si>
    <t>Tot Harvest weight</t>
  </si>
  <si>
    <t>HP consumed Per hour</t>
  </si>
  <si>
    <t>Seagrant Stage 1 Trial</t>
  </si>
  <si>
    <t>Stages 1-3 cost per Final fish</t>
  </si>
  <si>
    <t>Note: Manager $$ is multiplied by # of Systems/6 So 2 managers per 12 systems</t>
  </si>
  <si>
    <t>Operating Expense</t>
  </si>
  <si>
    <t>of Equipment cost</t>
  </si>
  <si>
    <t>Total Variable Costs</t>
  </si>
  <si>
    <t>Total Operating Expense</t>
  </si>
  <si>
    <t>Annual Operating Income</t>
  </si>
  <si>
    <t>Equipment Costs</t>
  </si>
  <si>
    <t>Tank Systems</t>
  </si>
  <si>
    <t>Annual P&amp;I</t>
  </si>
  <si>
    <t>Purchased Property Costs</t>
  </si>
  <si>
    <t>Financed cost</t>
  </si>
  <si>
    <t>Cash Paid Up Front</t>
  </si>
  <si>
    <t>Total System Cost</t>
  </si>
  <si>
    <t>Total Property Cost</t>
  </si>
  <si>
    <t>% Financing Equipment</t>
  </si>
  <si>
    <t>% Financing Real Property</t>
  </si>
  <si>
    <t>Cash Flow  - Annual from first Harvest</t>
  </si>
  <si>
    <t>Operating Income/Loss</t>
  </si>
  <si>
    <t>Less:</t>
  </si>
  <si>
    <t>Principle and Interest - Equip</t>
  </si>
  <si>
    <t>Principle and Interest - Bldg</t>
  </si>
  <si>
    <t>Cash Flow Analysis</t>
  </si>
  <si>
    <t>One time up front cash required</t>
  </si>
  <si>
    <t>Diameter</t>
  </si>
  <si>
    <t>Property and Equipment Financing</t>
  </si>
  <si>
    <t>Net Cash Flow (exclusive of up front cash requirements)</t>
  </si>
  <si>
    <t>Note:  Cells highlighted in Yellow can be modified to update results</t>
  </si>
  <si>
    <r>
      <t xml:space="preserve">This workbook provides modeling based on the assumptions noted in the associated </t>
    </r>
    <r>
      <rPr>
        <b/>
        <i/>
        <sz val="16"/>
        <color rgb="FFFF0000"/>
        <rFont val="Calibri"/>
        <family val="2"/>
        <scheme val="minor"/>
      </rPr>
      <t>Economics of Pompano Production in RAS</t>
    </r>
    <r>
      <rPr>
        <b/>
        <i/>
        <sz val="16"/>
        <color theme="1"/>
        <rFont val="Calibri"/>
        <family val="2"/>
        <scheme val="minor"/>
      </rPr>
      <t xml:space="preserve"> workshop presentation and should NOT be used to make business decisions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</si>
</sst>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_(* #,##0_);_(* \(#,##0\);_(* &quot;-&quot;?_);_(@_)"/>
    <numFmt numFmtId="167" formatCode="_(* #,##0_);_(* \(#,##0\);_(* &quot;-&quot;?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6" borderId="0"/>
  </cellStyleXfs>
  <cellXfs count="150">
    <xf numFmtId="0" fontId="0" fillId="0" borderId="0" xfId="0"/>
    <xf numFmtId="43" fontId="0" fillId="0" borderId="0" xfId="1" applyFont="1"/>
    <xf numFmtId="0" fontId="0" fillId="4" borderId="9" xfId="0" applyFill="1" applyBorder="1"/>
    <xf numFmtId="164" fontId="0" fillId="0" borderId="0" xfId="0" applyNumberFormat="1"/>
    <xf numFmtId="0" fontId="0" fillId="4" borderId="0" xfId="0" applyFill="1"/>
    <xf numFmtId="0" fontId="4" fillId="4" borderId="0" xfId="0" applyFont="1" applyFill="1"/>
    <xf numFmtId="0" fontId="2" fillId="4" borderId="11" xfId="0" applyFont="1" applyFill="1" applyBorder="1" applyAlignment="1">
      <alignment horizontal="center"/>
    </xf>
    <xf numFmtId="43" fontId="0" fillId="4" borderId="9" xfId="1" applyFont="1" applyFill="1" applyBorder="1"/>
    <xf numFmtId="164" fontId="0" fillId="4" borderId="9" xfId="1" applyNumberFormat="1" applyFont="1" applyFill="1" applyBorder="1"/>
    <xf numFmtId="0" fontId="6" fillId="0" borderId="0" xfId="0" applyFont="1"/>
    <xf numFmtId="0" fontId="8" fillId="0" borderId="13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5" xfId="2" applyFont="1" applyBorder="1" applyAlignment="1">
      <alignment vertical="center"/>
    </xf>
    <xf numFmtId="0" fontId="8" fillId="0" borderId="16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4" fontId="8" fillId="0" borderId="15" xfId="2" applyNumberFormat="1" applyFont="1" applyBorder="1" applyAlignment="1">
      <alignment vertical="center"/>
    </xf>
    <xf numFmtId="4" fontId="8" fillId="0" borderId="17" xfId="2" applyNumberFormat="1" applyFont="1" applyBorder="1" applyAlignment="1">
      <alignment vertical="center"/>
    </xf>
    <xf numFmtId="0" fontId="8" fillId="0" borderId="15" xfId="2" applyFont="1" applyBorder="1" applyAlignment="1">
      <alignment horizontal="left" vertical="center"/>
    </xf>
    <xf numFmtId="4" fontId="8" fillId="0" borderId="15" xfId="2" applyNumberFormat="1" applyFont="1" applyBorder="1" applyAlignment="1">
      <alignment horizontal="right" vertical="center"/>
    </xf>
    <xf numFmtId="4" fontId="8" fillId="0" borderId="17" xfId="2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8" fillId="0" borderId="18" xfId="2" applyFont="1" applyBorder="1" applyAlignment="1">
      <alignment horizontal="center" vertical="center"/>
    </xf>
    <xf numFmtId="0" fontId="8" fillId="0" borderId="19" xfId="2" applyFont="1" applyBorder="1" applyAlignment="1">
      <alignment horizontal="left" vertical="center"/>
    </xf>
    <xf numFmtId="0" fontId="8" fillId="0" borderId="19" xfId="2" applyFont="1" applyBorder="1" applyAlignment="1">
      <alignment horizontal="center" vertical="center"/>
    </xf>
    <xf numFmtId="4" fontId="8" fillId="0" borderId="19" xfId="2" applyNumberFormat="1" applyFont="1" applyBorder="1" applyAlignment="1">
      <alignment horizontal="right" vertical="center"/>
    </xf>
    <xf numFmtId="0" fontId="0" fillId="0" borderId="0" xfId="0" pivotButton="1"/>
    <xf numFmtId="4" fontId="0" fillId="0" borderId="0" xfId="0" applyNumberFormat="1"/>
    <xf numFmtId="0" fontId="8" fillId="0" borderId="20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4" fontId="8" fillId="0" borderId="0" xfId="2" applyNumberFormat="1" applyFont="1" applyAlignment="1">
      <alignment vertical="center"/>
    </xf>
    <xf numFmtId="4" fontId="9" fillId="0" borderId="12" xfId="2" applyNumberFormat="1" applyFont="1" applyBorder="1" applyAlignment="1">
      <alignment vertical="center"/>
    </xf>
    <xf numFmtId="4" fontId="8" fillId="0" borderId="0" xfId="2" applyNumberFormat="1" applyFont="1" applyAlignment="1">
      <alignment horizontal="right" vertical="center"/>
    </xf>
    <xf numFmtId="4" fontId="8" fillId="0" borderId="24" xfId="2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8" fillId="0" borderId="0" xfId="2" applyFont="1" applyAlignment="1">
      <alignment horizontal="center" vertical="center"/>
    </xf>
    <xf numFmtId="0" fontId="0" fillId="0" borderId="25" xfId="0" applyBorder="1"/>
    <xf numFmtId="0" fontId="0" fillId="0" borderId="11" xfId="0" applyBorder="1"/>
    <xf numFmtId="0" fontId="2" fillId="0" borderId="4" xfId="0" applyFont="1" applyBorder="1"/>
    <xf numFmtId="43" fontId="0" fillId="0" borderId="0" xfId="0" applyNumberFormat="1"/>
    <xf numFmtId="164" fontId="0" fillId="7" borderId="28" xfId="1" applyNumberFormat="1" applyFont="1" applyFill="1" applyBorder="1"/>
    <xf numFmtId="164" fontId="0" fillId="7" borderId="27" xfId="0" applyNumberFormat="1" applyFill="1" applyBorder="1"/>
    <xf numFmtId="164" fontId="0" fillId="4" borderId="0" xfId="1" applyNumberFormat="1" applyFont="1" applyFill="1" applyBorder="1"/>
    <xf numFmtId="0" fontId="13" fillId="0" borderId="0" xfId="0" applyFont="1"/>
    <xf numFmtId="0" fontId="14" fillId="0" borderId="0" xfId="0" applyFont="1"/>
    <xf numFmtId="0" fontId="0" fillId="7" borderId="1" xfId="0" applyFill="1" applyBorder="1"/>
    <xf numFmtId="0" fontId="0" fillId="0" borderId="0" xfId="0" applyAlignment="1">
      <alignment horizontal="right"/>
    </xf>
    <xf numFmtId="0" fontId="2" fillId="0" borderId="33" xfId="0" applyFont="1" applyBorder="1" applyAlignment="1">
      <alignment horizontal="center"/>
    </xf>
    <xf numFmtId="0" fontId="0" fillId="4" borderId="0" xfId="0" applyFill="1" applyAlignment="1">
      <alignment horizontal="right"/>
    </xf>
    <xf numFmtId="0" fontId="2" fillId="0" borderId="0" xfId="0" applyFont="1"/>
    <xf numFmtId="164" fontId="0" fillId="7" borderId="30" xfId="0" applyNumberFormat="1" applyFill="1" applyBorder="1"/>
    <xf numFmtId="0" fontId="0" fillId="7" borderId="0" xfId="0" applyFill="1"/>
    <xf numFmtId="164" fontId="0" fillId="7" borderId="0" xfId="0" applyNumberFormat="1" applyFill="1"/>
    <xf numFmtId="164" fontId="2" fillId="0" borderId="0" xfId="1" applyNumberFormat="1" applyFont="1" applyFill="1" applyBorder="1"/>
    <xf numFmtId="164" fontId="0" fillId="7" borderId="0" xfId="1" applyNumberFormat="1" applyFont="1" applyFill="1" applyBorder="1"/>
    <xf numFmtId="0" fontId="0" fillId="7" borderId="0" xfId="0" applyFill="1" applyAlignment="1">
      <alignment horizontal="center"/>
    </xf>
    <xf numFmtId="0" fontId="2" fillId="7" borderId="0" xfId="0" applyFont="1" applyFill="1" applyAlignment="1">
      <alignment horizontal="right"/>
    </xf>
    <xf numFmtId="43" fontId="0" fillId="7" borderId="0" xfId="0" applyNumberFormat="1" applyFill="1"/>
    <xf numFmtId="0" fontId="10" fillId="7" borderId="0" xfId="0" applyFont="1" applyFill="1" applyAlignment="1">
      <alignment horizontal="right"/>
    </xf>
    <xf numFmtId="164" fontId="0" fillId="7" borderId="29" xfId="1" applyNumberFormat="1" applyFont="1" applyFill="1" applyBorder="1"/>
    <xf numFmtId="0" fontId="15" fillId="7" borderId="0" xfId="0" applyFont="1" applyFill="1"/>
    <xf numFmtId="164" fontId="2" fillId="7" borderId="29" xfId="1" applyNumberFormat="1" applyFont="1" applyFill="1" applyBorder="1"/>
    <xf numFmtId="166" fontId="0" fillId="7" borderId="27" xfId="0" applyNumberFormat="1" applyFill="1" applyBorder="1"/>
    <xf numFmtId="164" fontId="0" fillId="7" borderId="0" xfId="1" applyNumberFormat="1" applyFont="1" applyFill="1" applyBorder="1" applyProtection="1"/>
    <xf numFmtId="166" fontId="0" fillId="7" borderId="0" xfId="0" applyNumberFormat="1" applyFill="1"/>
    <xf numFmtId="164" fontId="0" fillId="7" borderId="29" xfId="0" applyNumberFormat="1" applyFill="1" applyBorder="1"/>
    <xf numFmtId="164" fontId="0" fillId="7" borderId="9" xfId="1" applyNumberFormat="1" applyFont="1" applyFill="1" applyBorder="1"/>
    <xf numFmtId="164" fontId="0" fillId="7" borderId="9" xfId="0" applyNumberFormat="1" applyFill="1" applyBorder="1"/>
    <xf numFmtId="1" fontId="0" fillId="7" borderId="10" xfId="1" applyNumberFormat="1" applyFont="1" applyFill="1" applyBorder="1"/>
    <xf numFmtId="2" fontId="0" fillId="7" borderId="10" xfId="1" applyNumberFormat="1" applyFont="1" applyFill="1" applyBorder="1"/>
    <xf numFmtId="0" fontId="12" fillId="7" borderId="9" xfId="0" applyFont="1" applyFill="1" applyBorder="1"/>
    <xf numFmtId="0" fontId="2" fillId="4" borderId="29" xfId="0" applyFont="1" applyFill="1" applyBorder="1"/>
    <xf numFmtId="164" fontId="2" fillId="4" borderId="31" xfId="1" applyNumberFormat="1" applyFont="1" applyFill="1" applyBorder="1"/>
    <xf numFmtId="0" fontId="0" fillId="4" borderId="31" xfId="0" applyFill="1" applyBorder="1"/>
    <xf numFmtId="9" fontId="0" fillId="4" borderId="31" xfId="4" applyFont="1" applyFill="1" applyBorder="1"/>
    <xf numFmtId="164" fontId="0" fillId="4" borderId="9" xfId="0" applyNumberFormat="1" applyFill="1" applyBorder="1"/>
    <xf numFmtId="6" fontId="0" fillId="4" borderId="27" xfId="0" applyNumberFormat="1" applyFill="1" applyBorder="1"/>
    <xf numFmtId="165" fontId="0" fillId="4" borderId="9" xfId="1" applyNumberFormat="1" applyFont="1" applyFill="1" applyBorder="1"/>
    <xf numFmtId="0" fontId="0" fillId="7" borderId="9" xfId="0" applyFill="1" applyBorder="1"/>
    <xf numFmtId="165" fontId="0" fillId="7" borderId="0" xfId="1" applyNumberFormat="1" applyFont="1" applyFill="1" applyBorder="1"/>
    <xf numFmtId="0" fontId="17" fillId="0" borderId="36" xfId="5" applyFont="1" applyFill="1" applyBorder="1"/>
    <xf numFmtId="0" fontId="1" fillId="0" borderId="26" xfId="5" applyFill="1" applyBorder="1"/>
    <xf numFmtId="0" fontId="1" fillId="0" borderId="37" xfId="5" applyFill="1" applyBorder="1"/>
    <xf numFmtId="0" fontId="1" fillId="0" borderId="1" xfId="5" applyFill="1" applyBorder="1"/>
    <xf numFmtId="0" fontId="1" fillId="0" borderId="0" xfId="5" applyFill="1" applyBorder="1"/>
    <xf numFmtId="0" fontId="1" fillId="0" borderId="0" xfId="5" applyFill="1" applyBorder="1" applyAlignment="1">
      <alignment horizontal="center"/>
    </xf>
    <xf numFmtId="0" fontId="1" fillId="0" borderId="2" xfId="5" applyFill="1" applyBorder="1"/>
    <xf numFmtId="0" fontId="0" fillId="0" borderId="1" xfId="0" applyBorder="1"/>
    <xf numFmtId="0" fontId="0" fillId="2" borderId="0" xfId="0" applyFill="1" applyAlignment="1">
      <alignment horizontal="center"/>
    </xf>
    <xf numFmtId="0" fontId="0" fillId="0" borderId="2" xfId="0" applyBorder="1"/>
    <xf numFmtId="43" fontId="0" fillId="0" borderId="0" xfId="1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1" applyNumberFormat="1" applyFont="1" applyBorder="1"/>
    <xf numFmtId="0" fontId="2" fillId="0" borderId="1" xfId="0" applyFont="1" applyBorder="1"/>
    <xf numFmtId="0" fontId="2" fillId="0" borderId="38" xfId="0" applyFont="1" applyBorder="1"/>
    <xf numFmtId="0" fontId="0" fillId="7" borderId="0" xfId="0" applyFill="1" applyAlignment="1">
      <alignment horizontal="right"/>
    </xf>
    <xf numFmtId="0" fontId="2" fillId="0" borderId="0" xfId="0" applyFont="1" applyAlignment="1">
      <alignment horizontal="right"/>
    </xf>
    <xf numFmtId="0" fontId="10" fillId="0" borderId="0" xfId="0" applyFont="1"/>
    <xf numFmtId="0" fontId="16" fillId="7" borderId="1" xfId="0" applyFont="1" applyFill="1" applyBorder="1"/>
    <xf numFmtId="167" fontId="0" fillId="0" borderId="2" xfId="0" applyNumberFormat="1" applyBorder="1"/>
    <xf numFmtId="0" fontId="2" fillId="7" borderId="0" xfId="0" applyFont="1" applyFill="1"/>
    <xf numFmtId="0" fontId="16" fillId="7" borderId="0" xfId="0" applyFont="1" applyFill="1" applyAlignment="1">
      <alignment horizontal="right"/>
    </xf>
    <xf numFmtId="9" fontId="0" fillId="3" borderId="0" xfId="0" applyNumberFormat="1" applyFill="1" applyProtection="1">
      <protection locked="0"/>
    </xf>
    <xf numFmtId="0" fontId="0" fillId="4" borderId="39" xfId="0" applyFill="1" applyBorder="1"/>
    <xf numFmtId="0" fontId="11" fillId="7" borderId="0" xfId="0" applyFont="1" applyFill="1"/>
    <xf numFmtId="0" fontId="2" fillId="7" borderId="0" xfId="0" applyFont="1" applyFill="1" applyAlignment="1">
      <alignment horizontal="center"/>
    </xf>
    <xf numFmtId="43" fontId="0" fillId="0" borderId="2" xfId="0" applyNumberFormat="1" applyBorder="1"/>
    <xf numFmtId="6" fontId="0" fillId="0" borderId="2" xfId="0" applyNumberFormat="1" applyBorder="1"/>
    <xf numFmtId="0" fontId="4" fillId="7" borderId="1" xfId="0" applyFont="1" applyFill="1" applyBorder="1"/>
    <xf numFmtId="0" fontId="16" fillId="7" borderId="0" xfId="0" applyFont="1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165" fontId="0" fillId="7" borderId="9" xfId="1" applyNumberFormat="1" applyFont="1" applyFill="1" applyBorder="1"/>
    <xf numFmtId="164" fontId="0" fillId="7" borderId="11" xfId="1" applyNumberFormat="1" applyFont="1" applyFill="1" applyBorder="1"/>
    <xf numFmtId="0" fontId="4" fillId="2" borderId="4" xfId="5" applyFont="1" applyFill="1" applyBorder="1"/>
    <xf numFmtId="0" fontId="4" fillId="2" borderId="4" xfId="5" applyFont="1" applyFill="1" applyBorder="1" applyAlignment="1">
      <alignment horizontal="center"/>
    </xf>
    <xf numFmtId="0" fontId="4" fillId="7" borderId="0" xfId="0" applyFont="1" applyFill="1" applyAlignment="1">
      <alignment horizontal="left"/>
    </xf>
    <xf numFmtId="0" fontId="4" fillId="5" borderId="0" xfId="0" applyFont="1" applyFill="1"/>
    <xf numFmtId="0" fontId="0" fillId="5" borderId="0" xfId="0" applyFill="1"/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3" borderId="9" xfId="0" applyFill="1" applyBorder="1" applyProtection="1">
      <protection locked="0"/>
    </xf>
    <xf numFmtId="43" fontId="0" fillId="3" borderId="9" xfId="1" applyFont="1" applyFill="1" applyBorder="1" applyProtection="1">
      <protection locked="0"/>
    </xf>
    <xf numFmtId="164" fontId="0" fillId="3" borderId="9" xfId="1" applyNumberFormat="1" applyFont="1" applyFill="1" applyBorder="1" applyProtection="1">
      <protection locked="0"/>
    </xf>
    <xf numFmtId="2" fontId="0" fillId="3" borderId="9" xfId="1" applyNumberFormat="1" applyFont="1" applyFill="1" applyBorder="1" applyProtection="1">
      <protection locked="0"/>
    </xf>
    <xf numFmtId="1" fontId="0" fillId="3" borderId="9" xfId="1" applyNumberFormat="1" applyFon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0" fontId="0" fillId="3" borderId="32" xfId="4" applyNumberFormat="1" applyFont="1" applyFill="1" applyBorder="1" applyProtection="1">
      <protection locked="0"/>
    </xf>
    <xf numFmtId="44" fontId="0" fillId="3" borderId="34" xfId="3" applyFont="1" applyFill="1" applyBorder="1" applyProtection="1">
      <protection locked="0"/>
    </xf>
    <xf numFmtId="164" fontId="0" fillId="3" borderId="31" xfId="1" applyNumberFormat="1" applyFont="1" applyFill="1" applyBorder="1" applyProtection="1">
      <protection locked="0"/>
    </xf>
    <xf numFmtId="44" fontId="0" fillId="3" borderId="35" xfId="3" applyFont="1" applyFill="1" applyBorder="1" applyProtection="1">
      <protection locked="0"/>
    </xf>
    <xf numFmtId="9" fontId="0" fillId="3" borderId="9" xfId="4" applyFont="1" applyFill="1" applyBorder="1" applyProtection="1">
      <protection locked="0"/>
    </xf>
    <xf numFmtId="9" fontId="0" fillId="3" borderId="9" xfId="0" applyNumberFormat="1" applyFill="1" applyBorder="1" applyProtection="1">
      <protection locked="0"/>
    </xf>
    <xf numFmtId="164" fontId="0" fillId="3" borderId="0" xfId="1" applyNumberFormat="1" applyFont="1" applyFill="1" applyBorder="1" applyProtection="1">
      <protection locked="0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15" fillId="7" borderId="0" xfId="0" applyFont="1" applyFill="1" applyAlignment="1">
      <alignment horizontal="center" wrapText="1"/>
    </xf>
    <xf numFmtId="0" fontId="18" fillId="7" borderId="0" xfId="0" applyFont="1" applyFill="1" applyAlignment="1">
      <alignment horizontal="center" wrapText="1"/>
    </xf>
    <xf numFmtId="0" fontId="4" fillId="9" borderId="4" xfId="0" applyFont="1" applyFill="1" applyBorder="1" applyAlignment="1">
      <alignment horizontal="center"/>
    </xf>
  </cellXfs>
  <cellStyles count="7">
    <cellStyle name="20% - Accent5" xfId="5" builtinId="46"/>
    <cellStyle name="Background style" xfId="6" xr:uid="{67AD4680-2A4A-4578-B95A-3CC701D5CA2C}"/>
    <cellStyle name="Comma" xfId="1" builtinId="3"/>
    <cellStyle name="Currency" xfId="3" builtinId="4"/>
    <cellStyle name="Normal" xfId="0" builtinId="0"/>
    <cellStyle name="Normal 2" xfId="2" xr:uid="{00000000-0005-0000-0000-000003000000}"/>
    <cellStyle name="Percent" xfId="4" builtinId="5"/>
  </cellStyles>
  <dxfs count="0"/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zwem_000" refreshedDate="41397.468327546296" createdVersion="5" refreshedVersion="5" minRefreshableVersion="3" recordCount="25" xr:uid="{00000000-000A-0000-FFFF-FFFF00000000}">
  <cacheSource type="worksheet">
    <worksheetSource ref="A1:H26" sheet="Equip Data"/>
  </cacheSource>
  <cacheFields count="9">
    <cacheField name="Pressure" numFmtId="0">
      <sharedItems/>
    </cacheField>
    <cacheField name="Count" numFmtId="0">
      <sharedItems containsSemiMixedTypes="0" containsString="0" containsNumber="1" containsInteger="1" minValue="1" maxValue="168" count="7">
        <n v="1"/>
        <n v="24"/>
        <n v="168"/>
        <n v="4"/>
        <n v="2"/>
        <n v="3"/>
        <n v="8"/>
      </sharedItems>
    </cacheField>
    <cacheField name="Type" numFmtId="0">
      <sharedItems count="7">
        <s v="Pump"/>
        <s v="Filter"/>
        <s v="Sterilizer"/>
        <s v="Tank"/>
        <s v="Plumbing"/>
        <s v="Monitors"/>
        <s v="Oxy/CO2"/>
      </sharedItems>
    </cacheField>
    <cacheField name="Desc" numFmtId="0">
      <sharedItems count="25">
        <s v="1.5 hp Axial Flow Pump"/>
        <s v="10'x10'x4' biofilter w/ 4 2.5'x8' chambers and integrated 2'x10' sump"/>
        <s v="8&quot; Air diffusers (for Biofilter)"/>
        <s v="MB3 Biomedia"/>
        <s v="520 Watt UV sterilizer"/>
        <s v="7.8 cuM Culture Tanks with Cornell style dual drains"/>
        <s v="Anti vortex stand pipes"/>
        <s v="36 inch Wave Vortex Chambers"/>
        <s v="Diverter box"/>
        <s v="Hydrotech model 810 microscreen drum filter"/>
        <s v="PS150 Protein Skimmer"/>
        <s v="SHE 3.0 water pump"/>
        <s v="Delzone EC416 Ozone Generator w/ accessory kit w/ mazzei injector "/>
        <s v="solenoid timer"/>
        <s v="1/2&quot; large orifice solenoid valve"/>
        <s v="solenoid valve"/>
        <s v="Hanna Instruments ORP controller"/>
        <s v="Oxygen Mass Flow Meter w/ Totalizer"/>
        <s v="Totalizing water meters"/>
        <s v="Micropore diffusers"/>
        <s v="3/4&quot; Float valves"/>
        <s v="Auger Feeders"/>
        <s v="Plumbing"/>
        <s v="S63 regenerative blowers"/>
        <s v="Oxygen Monitor/Control system"/>
      </sharedItems>
    </cacheField>
    <cacheField name="Tanks" numFmtId="0">
      <sharedItems containsSemiMixedTypes="0" containsString="0" containsNumber="1" containsInteger="1" minValue="1" maxValue="4" count="2">
        <n v="1"/>
        <n v="4"/>
      </sharedItems>
    </cacheField>
    <cacheField name="Manuf" numFmtId="0">
      <sharedItems/>
    </cacheField>
    <cacheField name="Cost ea" numFmtId="4">
      <sharedItems containsSemiMixedTypes="0" containsString="0" containsNumber="1" minValue="10.69" maxValue="17911.650000000001"/>
    </cacheField>
    <cacheField name="Cost tank" numFmtId="4">
      <sharedItems containsSemiMixedTypes="0" containsString="0" containsNumber="1" minValue="62.85" maxValue="17240.61"/>
    </cacheField>
    <cacheField name="Total Cost" numFmtId="0" formula="Count*'Cost ea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">
  <r>
    <s v="Low"/>
    <x v="0"/>
    <x v="0"/>
    <x v="0"/>
    <x v="0"/>
    <s v="Carry Mfg"/>
    <n v="5739.17"/>
    <n v="5739.17"/>
  </r>
  <r>
    <s v="Low"/>
    <x v="0"/>
    <x v="1"/>
    <x v="1"/>
    <x v="0"/>
    <s v="American Fiberglass"/>
    <n v="3810"/>
    <n v="3810"/>
  </r>
  <r>
    <s v="Low"/>
    <x v="1"/>
    <x v="1"/>
    <x v="2"/>
    <x v="0"/>
    <s v="AES"/>
    <n v="10.69"/>
    <n v="256.56"/>
  </r>
  <r>
    <s v="Low"/>
    <x v="2"/>
    <x v="1"/>
    <x v="3"/>
    <x v="0"/>
    <s v="W-M-T"/>
    <n v="21.28"/>
    <n v="3575.04"/>
  </r>
  <r>
    <s v="Low"/>
    <x v="0"/>
    <x v="2"/>
    <x v="4"/>
    <x v="0"/>
    <s v="Emperor Aquatics"/>
    <n v="5496"/>
    <n v="5496"/>
  </r>
  <r>
    <s v="Low"/>
    <x v="3"/>
    <x v="3"/>
    <x v="5"/>
    <x v="0"/>
    <s v="Roland Fiberglass"/>
    <n v="3000"/>
    <n v="12000"/>
  </r>
  <r>
    <s v="Low"/>
    <x v="3"/>
    <x v="4"/>
    <x v="6"/>
    <x v="0"/>
    <s v="Alchem Industries"/>
    <n v="100"/>
    <n v="400"/>
  </r>
  <r>
    <s v="Low"/>
    <x v="3"/>
    <x v="1"/>
    <x v="7"/>
    <x v="0"/>
    <s v="AES"/>
    <n v="1061"/>
    <n v="4244"/>
  </r>
  <r>
    <s v="Low"/>
    <x v="0"/>
    <x v="1"/>
    <x v="8"/>
    <x v="0"/>
    <s v="multiple"/>
    <n v="200"/>
    <n v="200"/>
  </r>
  <r>
    <s v="Low"/>
    <x v="0"/>
    <x v="1"/>
    <x v="9"/>
    <x v="0"/>
    <s v="W-M-T"/>
    <n v="17240.61"/>
    <n v="17240.61"/>
  </r>
  <r>
    <s v="Low"/>
    <x v="0"/>
    <x v="1"/>
    <x v="10"/>
    <x v="0"/>
    <s v="Solar Components Inc"/>
    <n v="3075"/>
    <n v="3075"/>
  </r>
  <r>
    <s v="Low"/>
    <x v="0"/>
    <x v="0"/>
    <x v="11"/>
    <x v="0"/>
    <s v="AES"/>
    <n v="459"/>
    <n v="459"/>
  </r>
  <r>
    <s v="Low"/>
    <x v="0"/>
    <x v="2"/>
    <x v="12"/>
    <x v="0"/>
    <s v="AES"/>
    <n v="948"/>
    <n v="948"/>
  </r>
  <r>
    <s v="Low"/>
    <x v="0"/>
    <x v="5"/>
    <x v="13"/>
    <x v="0"/>
    <s v="AES"/>
    <n v="103.64"/>
    <n v="103.64"/>
  </r>
  <r>
    <s v="Low"/>
    <x v="4"/>
    <x v="6"/>
    <x v="14"/>
    <x v="0"/>
    <s v="AES"/>
    <n v="115.97"/>
    <n v="231.94"/>
  </r>
  <r>
    <s v="Low"/>
    <x v="0"/>
    <x v="6"/>
    <x v="15"/>
    <x v="0"/>
    <s v="AES"/>
    <n v="62.85"/>
    <n v="62.85"/>
  </r>
  <r>
    <s v="Low"/>
    <x v="0"/>
    <x v="5"/>
    <x v="16"/>
    <x v="0"/>
    <s v="AES"/>
    <n v="263"/>
    <n v="263"/>
  </r>
  <r>
    <s v="Low"/>
    <x v="0"/>
    <x v="6"/>
    <x v="17"/>
    <x v="0"/>
    <s v="Regal Brown"/>
    <n v="948.54"/>
    <n v="948.54"/>
  </r>
  <r>
    <s v="Low"/>
    <x v="5"/>
    <x v="5"/>
    <x v="18"/>
    <x v="0"/>
    <s v="DV controls"/>
    <n v="220"/>
    <n v="660"/>
  </r>
  <r>
    <s v="Low"/>
    <x v="6"/>
    <x v="6"/>
    <x v="19"/>
    <x v="0"/>
    <s v="Point4"/>
    <n v="127"/>
    <n v="1016"/>
  </r>
  <r>
    <s v="Low"/>
    <x v="4"/>
    <x v="4"/>
    <x v="20"/>
    <x v="0"/>
    <s v="AES"/>
    <n v="251.03"/>
    <n v="502.06"/>
  </r>
  <r>
    <s v="Low"/>
    <x v="3"/>
    <x v="4"/>
    <x v="21"/>
    <x v="0"/>
    <s v="AES"/>
    <n v="695"/>
    <n v="2780"/>
  </r>
  <r>
    <s v="Low"/>
    <x v="0"/>
    <x v="4"/>
    <x v="22"/>
    <x v="0"/>
    <s v="multiple"/>
    <n v="5000"/>
    <n v="5000"/>
  </r>
  <r>
    <s v="Low"/>
    <x v="4"/>
    <x v="6"/>
    <x v="23"/>
    <x v="1"/>
    <s v="AES"/>
    <n v="1228"/>
    <n v="614"/>
  </r>
  <r>
    <s v="Low"/>
    <x v="0"/>
    <x v="5"/>
    <x v="24"/>
    <x v="1"/>
    <s v="multiple"/>
    <n v="17911.650000000001"/>
    <n v="4477.91250000000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F30" firstHeaderRow="1" firstDataRow="2" firstDataCol="4"/>
  <pivotFields count="9">
    <pivotField compact="0" outline="0" showAll="0" defaultSubtotal="0"/>
    <pivotField axis="axisRow" compact="0" outline="0" showAll="0" defaultSubtotal="0">
      <items count="7">
        <item x="0"/>
        <item x="4"/>
        <item x="5"/>
        <item x="3"/>
        <item x="6"/>
        <item x="1"/>
        <item x="2"/>
      </items>
    </pivotField>
    <pivotField axis="axisRow" compact="0" outline="0" showAll="0" defaultSubtotal="0">
      <items count="7">
        <item x="1"/>
        <item x="5"/>
        <item x="6"/>
        <item x="4"/>
        <item x="0"/>
        <item x="2"/>
        <item x="3"/>
      </items>
    </pivotField>
    <pivotField axis="axisRow" compact="0" outline="0" showAll="0" defaultSubtotal="0">
      <items count="25">
        <item x="0"/>
        <item x="14"/>
        <item x="1"/>
        <item x="20"/>
        <item x="7"/>
        <item x="4"/>
        <item x="5"/>
        <item x="2"/>
        <item x="6"/>
        <item x="21"/>
        <item x="12"/>
        <item x="8"/>
        <item x="16"/>
        <item x="9"/>
        <item x="3"/>
        <item x="19"/>
        <item x="17"/>
        <item x="24"/>
        <item x="22"/>
        <item x="10"/>
        <item x="23"/>
        <item x="11"/>
        <item x="13"/>
        <item x="15"/>
        <item x="18"/>
      </items>
    </pivotField>
    <pivotField axis="axisRow" compact="0" outline="0" showAll="0" defaultSubtotal="0">
      <items count="2">
        <item x="0"/>
        <item x="1"/>
      </items>
    </pivotField>
    <pivotField compact="0" outline="0" showAll="0" defaultSubtotal="0"/>
    <pivotField dataField="1" compact="0" numFmtId="4" outline="0" showAll="0" defaultSubtotal="0"/>
    <pivotField compact="0" numFmtId="4" outline="0" showAll="0" defaultSubtotal="0"/>
    <pivotField dataField="1" compact="0" outline="0" dragToRow="0" dragToCol="0" dragToPage="0" showAll="0" defaultSubtotal="0"/>
  </pivotFields>
  <rowFields count="4">
    <field x="2"/>
    <field x="3"/>
    <field x="1"/>
    <field x="4"/>
  </rowFields>
  <rowItems count="26">
    <i>
      <x/>
      <x v="2"/>
      <x/>
      <x/>
    </i>
    <i r="1">
      <x v="4"/>
      <x v="3"/>
      <x/>
    </i>
    <i r="1">
      <x v="7"/>
      <x v="5"/>
      <x/>
    </i>
    <i r="1">
      <x v="11"/>
      <x/>
      <x/>
    </i>
    <i r="1">
      <x v="13"/>
      <x/>
      <x/>
    </i>
    <i r="1">
      <x v="14"/>
      <x v="6"/>
      <x/>
    </i>
    <i r="1">
      <x v="19"/>
      <x/>
      <x/>
    </i>
    <i>
      <x v="1"/>
      <x v="12"/>
      <x/>
      <x/>
    </i>
    <i r="1">
      <x v="17"/>
      <x/>
      <x v="1"/>
    </i>
    <i r="1">
      <x v="22"/>
      <x/>
      <x/>
    </i>
    <i r="1">
      <x v="24"/>
      <x v="2"/>
      <x/>
    </i>
    <i>
      <x v="2"/>
      <x v="1"/>
      <x v="1"/>
      <x/>
    </i>
    <i r="1">
      <x v="15"/>
      <x v="4"/>
      <x/>
    </i>
    <i r="1">
      <x v="16"/>
      <x/>
      <x/>
    </i>
    <i r="1">
      <x v="20"/>
      <x v="1"/>
      <x v="1"/>
    </i>
    <i r="1">
      <x v="23"/>
      <x/>
      <x/>
    </i>
    <i>
      <x v="3"/>
      <x v="3"/>
      <x v="1"/>
      <x/>
    </i>
    <i r="1">
      <x v="8"/>
      <x v="3"/>
      <x/>
    </i>
    <i r="1">
      <x v="9"/>
      <x v="3"/>
      <x/>
    </i>
    <i r="1">
      <x v="18"/>
      <x/>
      <x/>
    </i>
    <i>
      <x v="4"/>
      <x/>
      <x/>
      <x/>
    </i>
    <i r="1">
      <x v="21"/>
      <x/>
      <x/>
    </i>
    <i>
      <x v="5"/>
      <x v="5"/>
      <x/>
      <x/>
    </i>
    <i r="1">
      <x v="10"/>
      <x/>
      <x/>
    </i>
    <i>
      <x v="6"/>
      <x v="6"/>
      <x v="3"/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Cost ea" fld="6" baseField="0" baseItem="0"/>
    <dataField name="Sum of Total Cost" fld="8" baseField="0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workbookViewId="0">
      <selection activeCell="E31" sqref="E31"/>
    </sheetView>
  </sheetViews>
  <sheetFormatPr baseColWidth="10" defaultColWidth="8.83203125" defaultRowHeight="15" x14ac:dyDescent="0.2"/>
  <cols>
    <col min="1" max="1" width="5.6640625" customWidth="1"/>
  </cols>
  <sheetData>
    <row r="1" spans="1:2" ht="29" x14ac:dyDescent="0.35">
      <c r="A1" s="45" t="s">
        <v>175</v>
      </c>
    </row>
    <row r="3" spans="1:2" ht="19" x14ac:dyDescent="0.25">
      <c r="B3" s="44" t="s">
        <v>176</v>
      </c>
    </row>
    <row r="4" spans="1:2" ht="19" x14ac:dyDescent="0.25">
      <c r="B4" s="44" t="s">
        <v>177</v>
      </c>
    </row>
    <row r="5" spans="1:2" ht="19" x14ac:dyDescent="0.25">
      <c r="B5" s="44" t="s">
        <v>179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4"/>
  <sheetViews>
    <sheetView showGridLines="0" workbookViewId="0">
      <selection activeCell="H14" sqref="H14"/>
    </sheetView>
  </sheetViews>
  <sheetFormatPr baseColWidth="10" defaultColWidth="8.83203125" defaultRowHeight="15" x14ac:dyDescent="0.2"/>
  <cols>
    <col min="2" max="2" width="4.1640625" customWidth="1"/>
    <col min="3" max="3" width="23.5" customWidth="1"/>
    <col min="4" max="4" width="6.5" customWidth="1"/>
    <col min="5" max="5" width="10.5" bestFit="1" customWidth="1"/>
    <col min="6" max="7" width="7.6640625" customWidth="1"/>
    <col min="8" max="8" width="8" customWidth="1"/>
  </cols>
  <sheetData>
    <row r="1" spans="2:10" ht="16" thickBot="1" x14ac:dyDescent="0.25"/>
    <row r="2" spans="2:10" ht="20" thickBot="1" x14ac:dyDescent="0.3">
      <c r="B2" s="120" t="s">
        <v>6</v>
      </c>
      <c r="C2" s="121"/>
      <c r="D2" s="121"/>
      <c r="E2" s="121"/>
      <c r="F2" s="121"/>
      <c r="G2" s="122" t="s">
        <v>16</v>
      </c>
      <c r="H2" s="123" t="s">
        <v>17</v>
      </c>
      <c r="I2" s="123" t="s">
        <v>18</v>
      </c>
      <c r="J2" s="124" t="s">
        <v>19</v>
      </c>
    </row>
    <row r="3" spans="2:10" x14ac:dyDescent="0.2">
      <c r="B3" s="121"/>
      <c r="C3" s="121" t="s">
        <v>7</v>
      </c>
      <c r="D3" s="121"/>
      <c r="E3" s="121">
        <v>2.83168E-2</v>
      </c>
      <c r="F3" s="121"/>
      <c r="G3" s="125">
        <v>100</v>
      </c>
      <c r="H3" s="121"/>
      <c r="I3" s="121">
        <f>G3*E3</f>
        <v>2.83168</v>
      </c>
      <c r="J3" s="126">
        <f>H3/E3</f>
        <v>0</v>
      </c>
    </row>
    <row r="4" spans="2:10" x14ac:dyDescent="0.2">
      <c r="B4" s="121"/>
      <c r="C4" s="121" t="s">
        <v>15</v>
      </c>
      <c r="D4" s="121"/>
      <c r="E4" s="121">
        <v>453.59231999999997</v>
      </c>
      <c r="F4" s="121"/>
      <c r="G4" s="125">
        <v>1080</v>
      </c>
      <c r="H4" s="121">
        <v>1000</v>
      </c>
      <c r="I4" s="121">
        <f t="shared" ref="I4:I5" si="0">G4*E4</f>
        <v>489879.70559999999</v>
      </c>
      <c r="J4" s="126">
        <f t="shared" ref="J4:J6" si="1">H4/E4</f>
        <v>2.204622864866848</v>
      </c>
    </row>
    <row r="5" spans="2:10" x14ac:dyDescent="0.2">
      <c r="B5" s="121"/>
      <c r="C5" s="121" t="s">
        <v>9</v>
      </c>
      <c r="D5" s="121"/>
      <c r="E5" s="121">
        <v>264.17203999999998</v>
      </c>
      <c r="F5" s="121"/>
      <c r="G5" s="125"/>
      <c r="H5" s="121"/>
      <c r="I5" s="121">
        <f t="shared" si="0"/>
        <v>0</v>
      </c>
      <c r="J5" s="126">
        <f t="shared" si="1"/>
        <v>0</v>
      </c>
    </row>
    <row r="6" spans="2:10" ht="16" thickBot="1" x14ac:dyDescent="0.25">
      <c r="B6" s="121"/>
      <c r="C6" s="121" t="s">
        <v>10</v>
      </c>
      <c r="D6" s="121"/>
      <c r="E6" s="121">
        <v>0.746</v>
      </c>
      <c r="F6" s="121"/>
      <c r="G6" s="127"/>
      <c r="H6" s="128"/>
      <c r="I6" s="128">
        <v>0</v>
      </c>
      <c r="J6" s="129">
        <f t="shared" si="1"/>
        <v>0</v>
      </c>
    </row>
    <row r="8" spans="2:10" ht="19" x14ac:dyDescent="0.25">
      <c r="B8" s="5" t="s">
        <v>0</v>
      </c>
      <c r="C8" s="4"/>
      <c r="D8" s="6" t="s">
        <v>28</v>
      </c>
      <c r="E8" s="6" t="s">
        <v>50</v>
      </c>
      <c r="F8" s="6" t="s">
        <v>39</v>
      </c>
    </row>
    <row r="9" spans="2:10" x14ac:dyDescent="0.2">
      <c r="B9" s="4"/>
      <c r="C9" s="4" t="s">
        <v>1</v>
      </c>
      <c r="D9" s="2" t="s">
        <v>5</v>
      </c>
      <c r="E9" s="130">
        <v>1000</v>
      </c>
      <c r="F9" s="131">
        <v>0.1</v>
      </c>
    </row>
    <row r="10" spans="2:10" x14ac:dyDescent="0.2">
      <c r="B10" s="4"/>
      <c r="C10" s="4" t="s">
        <v>2</v>
      </c>
      <c r="D10" s="2" t="s">
        <v>4</v>
      </c>
      <c r="E10" s="130">
        <v>1000</v>
      </c>
      <c r="F10" s="131">
        <v>120</v>
      </c>
    </row>
    <row r="11" spans="2:10" ht="17" x14ac:dyDescent="0.2">
      <c r="B11" s="4"/>
      <c r="C11" s="4" t="s">
        <v>3</v>
      </c>
      <c r="D11" s="2" t="s">
        <v>8</v>
      </c>
      <c r="E11" s="130">
        <v>100</v>
      </c>
      <c r="F11" s="131">
        <v>0.75</v>
      </c>
    </row>
    <row r="12" spans="2:10" x14ac:dyDescent="0.2">
      <c r="B12" s="4">
        <v>1</v>
      </c>
      <c r="C12" s="4" t="s">
        <v>191</v>
      </c>
      <c r="D12" s="2" t="s">
        <v>46</v>
      </c>
      <c r="E12" s="130">
        <v>1</v>
      </c>
      <c r="F12" s="7">
        <f>E34</f>
        <v>79.376840131403995</v>
      </c>
    </row>
    <row r="13" spans="2:10" x14ac:dyDescent="0.2">
      <c r="B13" s="4">
        <v>2</v>
      </c>
      <c r="C13" s="4" t="s">
        <v>187</v>
      </c>
      <c r="D13" s="2" t="s">
        <v>36</v>
      </c>
      <c r="E13" s="130">
        <v>1</v>
      </c>
      <c r="F13" s="131">
        <v>0.76</v>
      </c>
    </row>
    <row r="14" spans="2:10" x14ac:dyDescent="0.2">
      <c r="B14" s="4">
        <v>3</v>
      </c>
      <c r="C14" s="4" t="s">
        <v>188</v>
      </c>
      <c r="D14" s="2" t="s">
        <v>36</v>
      </c>
      <c r="E14" s="130">
        <v>1</v>
      </c>
      <c r="F14" s="131">
        <v>0.76</v>
      </c>
      <c r="H14" s="47" t="s">
        <v>189</v>
      </c>
      <c r="I14" s="40">
        <f>F14*50</f>
        <v>38</v>
      </c>
    </row>
    <row r="15" spans="2:10" x14ac:dyDescent="0.2">
      <c r="B15" s="4">
        <v>4</v>
      </c>
      <c r="C15" s="4" t="s">
        <v>188</v>
      </c>
      <c r="D15" s="2" t="s">
        <v>36</v>
      </c>
      <c r="E15" s="130">
        <v>1</v>
      </c>
      <c r="F15" s="131">
        <v>0.75</v>
      </c>
      <c r="H15" s="47"/>
      <c r="I15" s="40"/>
    </row>
    <row r="16" spans="2:10" x14ac:dyDescent="0.2">
      <c r="B16" s="4"/>
      <c r="C16" s="4" t="s">
        <v>37</v>
      </c>
      <c r="D16" s="2" t="s">
        <v>38</v>
      </c>
      <c r="E16" s="132">
        <v>10000</v>
      </c>
      <c r="F16" s="131">
        <v>750</v>
      </c>
    </row>
    <row r="18" spans="2:5" ht="19" x14ac:dyDescent="0.25">
      <c r="B18" s="5" t="s">
        <v>11</v>
      </c>
      <c r="C18" s="4"/>
      <c r="D18" s="4"/>
      <c r="E18" s="4"/>
    </row>
    <row r="19" spans="2:5" x14ac:dyDescent="0.2">
      <c r="B19" s="4"/>
      <c r="C19" s="4" t="s">
        <v>12</v>
      </c>
      <c r="D19" s="4"/>
      <c r="E19" s="2">
        <v>1.4999999999999999E-2</v>
      </c>
    </row>
    <row r="20" spans="2:5" x14ac:dyDescent="0.2">
      <c r="B20" s="4"/>
      <c r="C20" s="4" t="s">
        <v>13</v>
      </c>
      <c r="D20" s="4"/>
      <c r="E20" s="2">
        <v>1.5</v>
      </c>
    </row>
    <row r="21" spans="2:5" x14ac:dyDescent="0.2">
      <c r="B21" s="4"/>
      <c r="C21" s="4" t="s">
        <v>194</v>
      </c>
      <c r="D21" s="4"/>
      <c r="E21" s="2">
        <v>11</v>
      </c>
    </row>
    <row r="23" spans="2:5" ht="19" x14ac:dyDescent="0.25">
      <c r="B23" s="5" t="s">
        <v>20</v>
      </c>
      <c r="C23" s="4"/>
      <c r="D23" s="4"/>
      <c r="E23" s="4"/>
    </row>
    <row r="24" spans="2:5" x14ac:dyDescent="0.2">
      <c r="B24" s="4"/>
      <c r="C24" s="4" t="s">
        <v>21</v>
      </c>
      <c r="D24" s="4"/>
      <c r="E24" s="2">
        <v>4</v>
      </c>
    </row>
    <row r="26" spans="2:5" ht="19" x14ac:dyDescent="0.25">
      <c r="B26" s="5" t="s">
        <v>151</v>
      </c>
      <c r="C26" s="4"/>
      <c r="D26" s="4"/>
      <c r="E26" s="4"/>
    </row>
    <row r="27" spans="2:5" x14ac:dyDescent="0.2">
      <c r="B27" s="4"/>
      <c r="C27" s="4" t="s">
        <v>139</v>
      </c>
      <c r="D27" s="4"/>
      <c r="E27" s="8">
        <v>78000</v>
      </c>
    </row>
    <row r="29" spans="2:5" ht="19" x14ac:dyDescent="0.25">
      <c r="B29" s="5" t="s">
        <v>195</v>
      </c>
      <c r="C29" s="4"/>
      <c r="D29" s="4"/>
      <c r="E29" s="4"/>
    </row>
    <row r="30" spans="2:5" x14ac:dyDescent="0.2">
      <c r="B30" s="4"/>
      <c r="C30" s="4"/>
      <c r="D30" s="4"/>
      <c r="E30" s="4"/>
    </row>
    <row r="31" spans="2:5" x14ac:dyDescent="0.2">
      <c r="B31" s="4"/>
      <c r="C31" s="4" t="s">
        <v>193</v>
      </c>
      <c r="D31" s="4"/>
      <c r="E31" s="4">
        <v>23142.11</v>
      </c>
    </row>
    <row r="32" spans="2:5" x14ac:dyDescent="0.2">
      <c r="B32" s="4"/>
      <c r="C32" s="4" t="s">
        <v>32</v>
      </c>
      <c r="D32" s="4"/>
      <c r="E32" s="4">
        <v>0.89447299999999996</v>
      </c>
    </row>
    <row r="33" spans="2:5" x14ac:dyDescent="0.2">
      <c r="B33" s="4"/>
      <c r="C33" s="4" t="s">
        <v>192</v>
      </c>
      <c r="D33" s="4"/>
      <c r="E33" s="4">
        <v>1643.1</v>
      </c>
    </row>
    <row r="34" spans="2:5" x14ac:dyDescent="0.2">
      <c r="B34" s="4"/>
      <c r="C34" s="49" t="s">
        <v>190</v>
      </c>
      <c r="D34" s="4"/>
      <c r="E34" s="2">
        <f>E33/((E31*E32)/1000)</f>
        <v>79.376840131403995</v>
      </c>
    </row>
  </sheetData>
  <sheetProtection algorithmName="SHA-512" hashValue="L2n4JP1Y7ETeX+GAUsffEh1NrHB6hOU5SqJwoDlIRb4YtncCyaPkZfnjJAxQch6nPi58GUN7BBwmfz3hy99K3g==" saltValue="YEryNNYdHJLypVUPqLFp9g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178"/>
  <sheetViews>
    <sheetView showGridLines="0" tabSelected="1" workbookViewId="0">
      <pane ySplit="4" topLeftCell="A5" activePane="bottomLeft" state="frozen"/>
      <selection pane="bottomLeft" activeCell="B1" sqref="B1:K1"/>
    </sheetView>
  </sheetViews>
  <sheetFormatPr baseColWidth="10" defaultColWidth="8.83203125" defaultRowHeight="15" outlineLevelRow="1" x14ac:dyDescent="0.2"/>
  <cols>
    <col min="2" max="2" width="7.33203125" customWidth="1"/>
    <col min="3" max="3" width="28.6640625" customWidth="1"/>
    <col min="4" max="4" width="9" customWidth="1"/>
    <col min="5" max="5" width="10.5" customWidth="1"/>
    <col min="6" max="6" width="11.5" bestFit="1" customWidth="1"/>
    <col min="7" max="8" width="12.33203125" customWidth="1"/>
    <col min="9" max="9" width="13.83203125" customWidth="1"/>
    <col min="10" max="10" width="11.83203125" customWidth="1"/>
    <col min="11" max="11" width="11.5" customWidth="1"/>
    <col min="12" max="12" width="16" customWidth="1"/>
    <col min="13" max="13" width="8.33203125" customWidth="1"/>
    <col min="14" max="14" width="10.5" bestFit="1" customWidth="1"/>
    <col min="15" max="15" width="9.5" bestFit="1" customWidth="1"/>
    <col min="16" max="16" width="10.5" bestFit="1" customWidth="1"/>
    <col min="17" max="18" width="11.5" bestFit="1" customWidth="1"/>
  </cols>
  <sheetData>
    <row r="1" spans="2:11" ht="74.25" customHeight="1" x14ac:dyDescent="0.25">
      <c r="B1" s="148" t="s">
        <v>224</v>
      </c>
      <c r="C1" s="148"/>
      <c r="D1" s="148"/>
      <c r="E1" s="148"/>
      <c r="F1" s="148"/>
      <c r="G1" s="148"/>
      <c r="H1" s="148"/>
      <c r="I1" s="148"/>
      <c r="J1" s="148"/>
      <c r="K1" s="148"/>
    </row>
    <row r="2" spans="2:11" ht="20" thickBot="1" x14ac:dyDescent="0.3">
      <c r="B2" s="149" t="s">
        <v>223</v>
      </c>
      <c r="C2" s="149"/>
      <c r="D2" s="149"/>
      <c r="E2" s="149"/>
      <c r="F2" s="149"/>
      <c r="G2" s="149"/>
      <c r="H2" s="149"/>
      <c r="I2" s="149"/>
      <c r="J2" s="149"/>
      <c r="K2" s="149"/>
    </row>
    <row r="3" spans="2:11" ht="24" x14ac:dyDescent="0.3">
      <c r="B3" s="81" t="s">
        <v>161</v>
      </c>
      <c r="C3" s="82"/>
      <c r="D3" s="82"/>
      <c r="E3" s="82"/>
      <c r="F3" s="82"/>
      <c r="G3" s="82"/>
      <c r="H3" s="82"/>
      <c r="I3" s="82"/>
      <c r="J3" s="82"/>
      <c r="K3" s="83"/>
    </row>
    <row r="4" spans="2:11" ht="20" thickBot="1" x14ac:dyDescent="0.3">
      <c r="B4" s="84"/>
      <c r="C4" s="85"/>
      <c r="D4" s="117" t="s">
        <v>28</v>
      </c>
      <c r="E4" s="118" t="s">
        <v>24</v>
      </c>
      <c r="F4" s="118" t="s">
        <v>25</v>
      </c>
      <c r="G4" s="118" t="s">
        <v>26</v>
      </c>
      <c r="H4" s="118" t="s">
        <v>180</v>
      </c>
      <c r="I4" s="86" t="s">
        <v>49</v>
      </c>
      <c r="J4" s="85"/>
      <c r="K4" s="87"/>
    </row>
    <row r="5" spans="2:11" x14ac:dyDescent="0.2">
      <c r="B5" s="88"/>
      <c r="C5" t="s">
        <v>22</v>
      </c>
      <c r="D5" t="s">
        <v>27</v>
      </c>
      <c r="E5" s="69">
        <v>0</v>
      </c>
      <c r="F5" s="70">
        <v>0.46</v>
      </c>
      <c r="G5" s="70">
        <f>F6</f>
        <v>67.11</v>
      </c>
      <c r="H5" s="70">
        <f>G6</f>
        <v>106</v>
      </c>
      <c r="J5" s="89" t="s">
        <v>171</v>
      </c>
      <c r="K5" s="90"/>
    </row>
    <row r="6" spans="2:11" x14ac:dyDescent="0.2">
      <c r="B6" s="88"/>
      <c r="C6" t="s">
        <v>23</v>
      </c>
      <c r="D6" t="s">
        <v>27</v>
      </c>
      <c r="E6" s="133">
        <v>0.46</v>
      </c>
      <c r="F6" s="133">
        <v>67.11</v>
      </c>
      <c r="G6" s="134">
        <v>106</v>
      </c>
      <c r="H6" s="134">
        <v>560</v>
      </c>
      <c r="J6" s="89" t="s">
        <v>162</v>
      </c>
      <c r="K6" s="90"/>
    </row>
    <row r="7" spans="2:11" x14ac:dyDescent="0.2">
      <c r="B7" s="88"/>
      <c r="C7" t="s">
        <v>29</v>
      </c>
      <c r="D7" t="s">
        <v>30</v>
      </c>
      <c r="E7" s="130">
        <v>28</v>
      </c>
      <c r="F7" s="130">
        <v>69.5</v>
      </c>
      <c r="G7" s="130">
        <v>21</v>
      </c>
      <c r="H7" s="130">
        <v>233</v>
      </c>
      <c r="I7" s="74">
        <f>SUM(E7:H7)</f>
        <v>351.5</v>
      </c>
      <c r="J7" s="91">
        <f>H7/30</f>
        <v>7.7666666666666666</v>
      </c>
      <c r="K7" s="90"/>
    </row>
    <row r="8" spans="2:11" ht="15" customHeight="1" x14ac:dyDescent="0.2">
      <c r="B8" s="88"/>
      <c r="C8" t="s">
        <v>14</v>
      </c>
      <c r="D8" t="s">
        <v>54</v>
      </c>
      <c r="E8" s="130">
        <v>1</v>
      </c>
      <c r="F8" s="130">
        <v>10</v>
      </c>
      <c r="G8" s="130">
        <v>45</v>
      </c>
      <c r="H8" s="130">
        <v>31.25</v>
      </c>
      <c r="J8" s="91"/>
      <c r="K8" s="90"/>
    </row>
    <row r="9" spans="2:11" x14ac:dyDescent="0.2">
      <c r="B9" s="88"/>
      <c r="K9" s="90"/>
    </row>
    <row r="10" spans="2:11" x14ac:dyDescent="0.2">
      <c r="B10" s="88"/>
      <c r="C10" t="s">
        <v>40</v>
      </c>
      <c r="E10" s="135">
        <v>1</v>
      </c>
      <c r="F10" s="135">
        <v>2</v>
      </c>
      <c r="G10" s="135">
        <v>3</v>
      </c>
      <c r="H10" s="135">
        <v>3</v>
      </c>
      <c r="K10" s="90"/>
    </row>
    <row r="11" spans="2:11" x14ac:dyDescent="0.2">
      <c r="B11" s="88"/>
      <c r="C11" t="s">
        <v>32</v>
      </c>
      <c r="E11" s="136">
        <v>0.89</v>
      </c>
      <c r="F11" s="136">
        <v>1.2</v>
      </c>
      <c r="G11" s="136">
        <v>1.77</v>
      </c>
      <c r="H11" s="136">
        <v>4.0348420000000003</v>
      </c>
      <c r="K11" s="90"/>
    </row>
    <row r="12" spans="2:11" ht="16" thickBot="1" x14ac:dyDescent="0.25">
      <c r="B12" s="88"/>
      <c r="C12" t="s">
        <v>33</v>
      </c>
      <c r="D12" t="s">
        <v>34</v>
      </c>
      <c r="E12" s="137">
        <v>0.36199999999999999</v>
      </c>
      <c r="F12" s="137">
        <v>0.98</v>
      </c>
      <c r="G12" s="137">
        <v>0.95499999999999996</v>
      </c>
      <c r="H12" s="137">
        <v>0.95299999999999996</v>
      </c>
      <c r="I12" s="75">
        <f>E12*F12*G12*H12</f>
        <v>0.3228723973999999</v>
      </c>
      <c r="K12" s="90"/>
    </row>
    <row r="13" spans="2:11" ht="16" thickBot="1" x14ac:dyDescent="0.25">
      <c r="B13" s="88"/>
      <c r="C13" t="s">
        <v>182</v>
      </c>
      <c r="D13" t="s">
        <v>183</v>
      </c>
      <c r="E13" s="144" t="s">
        <v>181</v>
      </c>
      <c r="F13" s="145"/>
      <c r="G13" s="144" t="s">
        <v>181</v>
      </c>
      <c r="H13" s="146"/>
      <c r="K13" s="90"/>
    </row>
    <row r="14" spans="2:11" ht="16" thickBot="1" x14ac:dyDescent="0.25">
      <c r="B14" s="88"/>
      <c r="K14" s="92"/>
    </row>
    <row r="15" spans="2:11" x14ac:dyDescent="0.2">
      <c r="B15" s="88"/>
      <c r="F15" s="48" t="s">
        <v>39</v>
      </c>
      <c r="G15" s="93"/>
      <c r="H15" s="93"/>
      <c r="K15" s="92"/>
    </row>
    <row r="16" spans="2:11" x14ac:dyDescent="0.2">
      <c r="B16" s="88"/>
      <c r="C16" t="s">
        <v>154</v>
      </c>
      <c r="D16" t="s">
        <v>153</v>
      </c>
      <c r="F16" s="138">
        <v>13</v>
      </c>
      <c r="G16" s="139">
        <v>20</v>
      </c>
      <c r="H16" s="132">
        <v>96</v>
      </c>
      <c r="K16" s="92"/>
    </row>
    <row r="17" spans="2:11" ht="16" thickBot="1" x14ac:dyDescent="0.25">
      <c r="B17" s="88"/>
      <c r="C17" t="s">
        <v>155</v>
      </c>
      <c r="D17" t="s">
        <v>104</v>
      </c>
      <c r="F17" s="140">
        <v>19.5</v>
      </c>
      <c r="G17" s="139">
        <v>0</v>
      </c>
      <c r="H17" s="132">
        <v>1</v>
      </c>
      <c r="K17" s="92"/>
    </row>
    <row r="18" spans="2:11" x14ac:dyDescent="0.2">
      <c r="B18" s="88"/>
      <c r="K18" s="92"/>
    </row>
    <row r="19" spans="2:11" x14ac:dyDescent="0.2">
      <c r="B19" s="88"/>
      <c r="J19" s="93" t="s">
        <v>150</v>
      </c>
      <c r="K19" s="90"/>
    </row>
    <row r="20" spans="2:11" x14ac:dyDescent="0.2">
      <c r="B20" s="88"/>
      <c r="C20" t="s">
        <v>35</v>
      </c>
      <c r="D20" t="s">
        <v>36</v>
      </c>
      <c r="H20" s="132">
        <v>8000</v>
      </c>
      <c r="I20" s="71">
        <v>12</v>
      </c>
      <c r="J20" s="76">
        <f>H20*12</f>
        <v>96000</v>
      </c>
      <c r="K20" s="90"/>
    </row>
    <row r="21" spans="2:11" x14ac:dyDescent="0.2">
      <c r="B21" s="88"/>
      <c r="K21" s="90"/>
    </row>
    <row r="22" spans="2:11" outlineLevel="1" x14ac:dyDescent="0.2">
      <c r="B22" s="88"/>
      <c r="C22" s="52" t="s">
        <v>41</v>
      </c>
      <c r="D22" s="52" t="s">
        <v>38</v>
      </c>
      <c r="E22" s="67">
        <f>CEILING(E23/E12,1)</f>
        <v>20072</v>
      </c>
      <c r="F22" s="67">
        <f>CEILING(F23/F12,1)</f>
        <v>7266</v>
      </c>
      <c r="G22" s="67">
        <f>CEILING(G23/G12,1)</f>
        <v>7120</v>
      </c>
      <c r="H22" s="67">
        <f>CEILING(H23/H12,1)</f>
        <v>6799</v>
      </c>
      <c r="K22" s="90"/>
    </row>
    <row r="23" spans="2:11" outlineLevel="1" x14ac:dyDescent="0.2">
      <c r="B23" s="88"/>
      <c r="C23" s="52" t="s">
        <v>42</v>
      </c>
      <c r="D23" s="52" t="s">
        <v>38</v>
      </c>
      <c r="E23" s="67">
        <f>F22</f>
        <v>7266</v>
      </c>
      <c r="F23" s="67">
        <f>G22</f>
        <v>7120</v>
      </c>
      <c r="G23" s="67">
        <f>H22</f>
        <v>6799</v>
      </c>
      <c r="H23" s="67">
        <f>CEILING(H29*1000/H6,1)</f>
        <v>6479</v>
      </c>
      <c r="K23" s="90"/>
    </row>
    <row r="24" spans="2:11" outlineLevel="1" x14ac:dyDescent="0.2">
      <c r="B24" s="88"/>
      <c r="E24" s="94"/>
      <c r="F24" s="94"/>
      <c r="G24" s="94"/>
      <c r="H24" s="94"/>
      <c r="K24" s="90"/>
    </row>
    <row r="25" spans="2:11" outlineLevel="1" x14ac:dyDescent="0.2">
      <c r="B25" s="88"/>
      <c r="C25" s="52" t="s">
        <v>45</v>
      </c>
      <c r="D25" s="52" t="s">
        <v>44</v>
      </c>
      <c r="E25" s="68">
        <f>FLOOR((E23*E6)/'General Parameters'!$E$4,1)</f>
        <v>7</v>
      </c>
      <c r="F25" s="68">
        <f>FLOOR((F23*F6)/'General Parameters'!$E$4,1)</f>
        <v>1053</v>
      </c>
      <c r="G25" s="68">
        <f>FLOOR((G23*G6)/'General Parameters'!$E$4,1)</f>
        <v>1588</v>
      </c>
      <c r="H25" s="68">
        <f>H20</f>
        <v>8000</v>
      </c>
      <c r="K25" s="90"/>
    </row>
    <row r="26" spans="2:11" outlineLevel="1" x14ac:dyDescent="0.2">
      <c r="B26" s="88"/>
      <c r="C26" s="52" t="s">
        <v>58</v>
      </c>
      <c r="D26" s="52" t="s">
        <v>44</v>
      </c>
      <c r="E26" s="68">
        <f>CEILING(E25-(E$22*E$5/'General Parameters'!$E$4),1)</f>
        <v>7</v>
      </c>
      <c r="F26" s="68">
        <f>CEILING(F25-(F$22*F$5/'General Parameters'!$E$4),1)</f>
        <v>1046</v>
      </c>
      <c r="G26" s="68">
        <f>CEILING(G25-(G$22*G$5/'General Parameters'!$E$4),1)</f>
        <v>535</v>
      </c>
      <c r="H26" s="68">
        <f>CEILING(H25-(H$22*H$5/'General Parameters'!$E$4),1)</f>
        <v>6412</v>
      </c>
      <c r="K26" s="90"/>
    </row>
    <row r="27" spans="2:11" outlineLevel="1" x14ac:dyDescent="0.2">
      <c r="B27" s="88"/>
      <c r="C27" s="52" t="s">
        <v>43</v>
      </c>
      <c r="D27" s="52" t="s">
        <v>44</v>
      </c>
      <c r="E27" s="68">
        <f>CEILING((E26*E11),1)</f>
        <v>7</v>
      </c>
      <c r="F27" s="68">
        <f>CEILING((F26*F11),1)</f>
        <v>1256</v>
      </c>
      <c r="G27" s="68">
        <f>CEILING((G26*G11),1)</f>
        <v>947</v>
      </c>
      <c r="H27" s="68">
        <f>CEILING((H26*H11),1)</f>
        <v>25872</v>
      </c>
      <c r="K27" s="90"/>
    </row>
    <row r="28" spans="2:11" outlineLevel="1" x14ac:dyDescent="0.2">
      <c r="B28" s="88"/>
      <c r="K28" s="90"/>
    </row>
    <row r="29" spans="2:11" outlineLevel="1" x14ac:dyDescent="0.2">
      <c r="B29" s="88"/>
      <c r="C29" s="52" t="s">
        <v>45</v>
      </c>
      <c r="D29" s="52" t="s">
        <v>46</v>
      </c>
      <c r="E29" s="68">
        <f>FLOOR(E25*'General Parameters'!$E$4/1000,1)</f>
        <v>3</v>
      </c>
      <c r="F29" s="68">
        <f>FLOOR(F25*'General Parameters'!$E$4/1000,1)</f>
        <v>477</v>
      </c>
      <c r="G29" s="68">
        <f>FLOOR(G25*'General Parameters'!$E$4/1000,1)</f>
        <v>720</v>
      </c>
      <c r="H29" s="68">
        <f>FLOOR(H25*'General Parameters'!$E$4/1000,1)</f>
        <v>3628</v>
      </c>
      <c r="K29" s="90"/>
    </row>
    <row r="30" spans="2:11" outlineLevel="1" x14ac:dyDescent="0.2">
      <c r="B30" s="88"/>
      <c r="C30" s="52" t="s">
        <v>58</v>
      </c>
      <c r="D30" s="52" t="s">
        <v>46</v>
      </c>
      <c r="E30" s="68">
        <f>FLOOR(E26*'General Parameters'!$E$4/1000,1)</f>
        <v>3</v>
      </c>
      <c r="F30" s="68">
        <f>FLOOR(F26*'General Parameters'!$E$4/1000,1)</f>
        <v>474</v>
      </c>
      <c r="G30" s="68">
        <f>FLOOR(G26*'General Parameters'!$E$4/1000,1)</f>
        <v>242</v>
      </c>
      <c r="H30" s="68">
        <f>FLOOR(H26*'General Parameters'!$E$4/1000,1)</f>
        <v>2908</v>
      </c>
      <c r="K30" s="90"/>
    </row>
    <row r="31" spans="2:11" outlineLevel="1" x14ac:dyDescent="0.2">
      <c r="B31" s="88"/>
      <c r="C31" s="52" t="s">
        <v>47</v>
      </c>
      <c r="D31" s="52" t="s">
        <v>46</v>
      </c>
      <c r="E31" s="68">
        <f>CEILING(E27*'General Parameters'!$E$4/1000,1)</f>
        <v>4</v>
      </c>
      <c r="F31" s="68">
        <f>CEILING(F27*'General Parameters'!$E$4/1000,1)</f>
        <v>570</v>
      </c>
      <c r="G31" s="68">
        <f>CEILING(G27*'General Parameters'!$E$4/1000,1)</f>
        <v>430</v>
      </c>
      <c r="H31" s="68">
        <f>CEILING(H27*'General Parameters'!$E$4/1000,1)</f>
        <v>11736</v>
      </c>
      <c r="K31" s="90"/>
    </row>
    <row r="32" spans="2:11" outlineLevel="1" x14ac:dyDescent="0.2">
      <c r="B32" s="88"/>
      <c r="K32" s="90"/>
    </row>
    <row r="33" spans="2:11" ht="17" outlineLevel="1" x14ac:dyDescent="0.2">
      <c r="B33" s="88"/>
      <c r="C33" s="52" t="s">
        <v>53</v>
      </c>
      <c r="D33" s="52" t="s">
        <v>31</v>
      </c>
      <c r="E33" s="68">
        <f>CEILING(E29/E8,1)</f>
        <v>3</v>
      </c>
      <c r="F33" s="68">
        <f>CEILING(F29/F8,1)</f>
        <v>48</v>
      </c>
      <c r="G33" s="68">
        <f>CEILING(G29/G8,1)</f>
        <v>16</v>
      </c>
      <c r="H33" s="68">
        <f>CEILING(H29/H8,1)</f>
        <v>117</v>
      </c>
      <c r="K33" s="90"/>
    </row>
    <row r="34" spans="2:11" ht="17" outlineLevel="1" x14ac:dyDescent="0.2">
      <c r="B34" s="88"/>
      <c r="C34" s="52" t="s">
        <v>51</v>
      </c>
      <c r="D34" s="52" t="s">
        <v>31</v>
      </c>
      <c r="E34" s="68">
        <f>E33*'General Parameters'!$E$20</f>
        <v>4.5</v>
      </c>
      <c r="F34" s="68">
        <f>F33*'General Parameters'!$E$20</f>
        <v>72</v>
      </c>
      <c r="G34" s="68">
        <f>G33*'General Parameters'!$E$20</f>
        <v>24</v>
      </c>
      <c r="H34" s="68">
        <f>CEILING(H33*'General Parameters'!$E$20,1)</f>
        <v>176</v>
      </c>
      <c r="K34" s="90"/>
    </row>
    <row r="35" spans="2:11" ht="17" outlineLevel="1" x14ac:dyDescent="0.2">
      <c r="B35" s="88"/>
      <c r="C35" s="52" t="s">
        <v>52</v>
      </c>
      <c r="D35" s="52" t="s">
        <v>31</v>
      </c>
      <c r="E35" s="68">
        <f>CEILING(E34*'General Parameters'!$E$19*E7,1)</f>
        <v>2</v>
      </c>
      <c r="F35" s="68">
        <f>CEILING(F34*'General Parameters'!$E$19*F7,1)</f>
        <v>76</v>
      </c>
      <c r="G35" s="68">
        <f>CEILING(G34*'General Parameters'!$E$19*G7,1)</f>
        <v>8</v>
      </c>
      <c r="H35" s="68">
        <f>CEILING(H34*'General Parameters'!$E$19*H7,1)</f>
        <v>616</v>
      </c>
      <c r="K35" s="90"/>
    </row>
    <row r="36" spans="2:11" outlineLevel="1" x14ac:dyDescent="0.2">
      <c r="B36" s="88"/>
      <c r="K36" s="90"/>
    </row>
    <row r="37" spans="2:11" ht="14.25" customHeight="1" outlineLevel="1" x14ac:dyDescent="0.2">
      <c r="B37" s="88"/>
      <c r="C37" s="52" t="s">
        <v>53</v>
      </c>
      <c r="D37" s="52" t="s">
        <v>55</v>
      </c>
      <c r="E37" s="68">
        <f>CEILING(E33*'General Parameters'!$E$5,1)</f>
        <v>793</v>
      </c>
      <c r="F37" s="68">
        <f>CEILING(F33*'General Parameters'!$E$5,1)</f>
        <v>12681</v>
      </c>
      <c r="G37" s="68">
        <f>CEILING(G33*'General Parameters'!$E$5,1)</f>
        <v>4227</v>
      </c>
      <c r="H37" s="68">
        <f>CEILING(H33*'General Parameters'!$E$5,1)</f>
        <v>30909</v>
      </c>
      <c r="K37" s="90"/>
    </row>
    <row r="38" spans="2:11" outlineLevel="1" x14ac:dyDescent="0.2">
      <c r="B38" s="88"/>
      <c r="C38" s="52" t="s">
        <v>51</v>
      </c>
      <c r="D38" s="52" t="s">
        <v>55</v>
      </c>
      <c r="E38" s="68">
        <f>CEILING(E34*'General Parameters'!$E$5,1)</f>
        <v>1189</v>
      </c>
      <c r="F38" s="68">
        <f>CEILING(F34*'General Parameters'!$E$5,1)</f>
        <v>19021</v>
      </c>
      <c r="G38" s="68">
        <f>CEILING(G34*'General Parameters'!$E$5,1)</f>
        <v>6341</v>
      </c>
      <c r="H38" s="68">
        <f>CEILING(H34*'General Parameters'!$E$5,1)</f>
        <v>46495</v>
      </c>
      <c r="K38" s="90"/>
    </row>
    <row r="39" spans="2:11" outlineLevel="1" x14ac:dyDescent="0.2">
      <c r="B39" s="88"/>
      <c r="C39" s="52" t="s">
        <v>52</v>
      </c>
      <c r="D39" s="52" t="s">
        <v>55</v>
      </c>
      <c r="E39" s="68">
        <f>CEILING(E35*'General Parameters'!$E$5,1)</f>
        <v>529</v>
      </c>
      <c r="F39" s="68">
        <f>CEILING(F35*'General Parameters'!$E$5,1)</f>
        <v>20078</v>
      </c>
      <c r="G39" s="68">
        <f>CEILING(G35*'General Parameters'!$E$5,1)</f>
        <v>2114</v>
      </c>
      <c r="H39" s="68">
        <f>CEILING(H35*'General Parameters'!$E$5,1)</f>
        <v>162730</v>
      </c>
      <c r="K39" s="90"/>
    </row>
    <row r="40" spans="2:11" outlineLevel="1" x14ac:dyDescent="0.2">
      <c r="B40" s="88"/>
      <c r="K40" s="90"/>
    </row>
    <row r="41" spans="2:11" outlineLevel="1" x14ac:dyDescent="0.2">
      <c r="B41" s="88"/>
      <c r="C41" s="52" t="s">
        <v>56</v>
      </c>
      <c r="D41" s="52"/>
      <c r="E41" s="68">
        <f>CEILING('General Parameters'!$E$21*24*E7*'General Parameters'!$E$6,1)</f>
        <v>5515</v>
      </c>
      <c r="F41" s="68">
        <f>CEILING('General Parameters'!$E$21*24*F7*'General Parameters'!$E$6,1)</f>
        <v>13688</v>
      </c>
      <c r="G41" s="68">
        <f>CEILING('General Parameters'!$E$21*24*G7*'General Parameters'!$E$6,1)</f>
        <v>4136</v>
      </c>
      <c r="H41" s="68">
        <f>CEILING('General Parameters'!$E$21*24*H7*'General Parameters'!$E$6,1)</f>
        <v>45888</v>
      </c>
      <c r="K41" s="90"/>
    </row>
    <row r="42" spans="2:11" outlineLevel="1" x14ac:dyDescent="0.2">
      <c r="B42" s="88"/>
      <c r="K42" s="90"/>
    </row>
    <row r="43" spans="2:11" outlineLevel="1" x14ac:dyDescent="0.2">
      <c r="B43" s="88"/>
      <c r="C43" s="52" t="s">
        <v>158</v>
      </c>
      <c r="D43" s="52"/>
      <c r="E43" s="53"/>
      <c r="F43" s="53"/>
      <c r="G43" s="67">
        <f>G16*$F16</f>
        <v>260</v>
      </c>
      <c r="H43" s="67">
        <f>H16*$F16</f>
        <v>1248</v>
      </c>
      <c r="K43" s="90"/>
    </row>
    <row r="44" spans="2:11" outlineLevel="1" x14ac:dyDescent="0.2">
      <c r="B44" s="88"/>
      <c r="E44" s="3"/>
      <c r="F44" s="3"/>
      <c r="G44" s="3"/>
      <c r="K44" s="90"/>
    </row>
    <row r="45" spans="2:11" outlineLevel="1" x14ac:dyDescent="0.2">
      <c r="B45" s="88"/>
      <c r="C45" s="47" t="s">
        <v>135</v>
      </c>
      <c r="E45" s="3"/>
      <c r="F45" s="3"/>
      <c r="H45" s="131">
        <v>6.5</v>
      </c>
      <c r="K45" s="90"/>
    </row>
    <row r="46" spans="2:11" outlineLevel="1" x14ac:dyDescent="0.2">
      <c r="B46" s="88"/>
      <c r="E46" s="3"/>
      <c r="F46" s="3"/>
      <c r="G46" s="3"/>
      <c r="H46" s="3"/>
      <c r="K46" s="90"/>
    </row>
    <row r="47" spans="2:11" x14ac:dyDescent="0.2">
      <c r="B47" s="95" t="s">
        <v>129</v>
      </c>
      <c r="K47" s="90"/>
    </row>
    <row r="48" spans="2:11" x14ac:dyDescent="0.2">
      <c r="B48" s="88"/>
      <c r="K48" s="90"/>
    </row>
    <row r="49" spans="2:12" x14ac:dyDescent="0.2">
      <c r="B49" s="88"/>
      <c r="C49" s="52" t="s">
        <v>53</v>
      </c>
      <c r="D49" s="52" t="s">
        <v>55</v>
      </c>
      <c r="E49" s="68">
        <f>E37</f>
        <v>793</v>
      </c>
      <c r="F49" s="68">
        <f>F37</f>
        <v>12681</v>
      </c>
      <c r="G49" s="68">
        <f>G37</f>
        <v>4227</v>
      </c>
      <c r="H49" s="68">
        <f>H37</f>
        <v>30909</v>
      </c>
      <c r="K49" s="90"/>
    </row>
    <row r="50" spans="2:12" x14ac:dyDescent="0.2">
      <c r="B50" s="88"/>
      <c r="K50" s="90"/>
    </row>
    <row r="51" spans="2:12" x14ac:dyDescent="0.2">
      <c r="B51" s="95" t="s">
        <v>130</v>
      </c>
      <c r="K51" s="90"/>
    </row>
    <row r="52" spans="2:12" ht="16" outlineLevel="1" thickBot="1" x14ac:dyDescent="0.25">
      <c r="B52" s="96" t="s">
        <v>220</v>
      </c>
      <c r="D52" s="35" t="s">
        <v>5</v>
      </c>
      <c r="E52" s="50" t="s">
        <v>134</v>
      </c>
      <c r="F52" s="39" t="s">
        <v>134</v>
      </c>
      <c r="G52" s="39" t="s">
        <v>134</v>
      </c>
      <c r="H52" s="50"/>
      <c r="I52" s="50" t="s">
        <v>185</v>
      </c>
      <c r="K52" s="90"/>
    </row>
    <row r="53" spans="2:12" outlineLevel="1" x14ac:dyDescent="0.2">
      <c r="B53" s="88">
        <v>4.67</v>
      </c>
      <c r="C53" t="s">
        <v>184</v>
      </c>
      <c r="D53" s="94">
        <v>200</v>
      </c>
      <c r="E53" s="135">
        <v>2</v>
      </c>
      <c r="F53" s="50"/>
      <c r="G53" s="50"/>
      <c r="H53" s="50"/>
      <c r="I53" s="76">
        <f>D53*E53</f>
        <v>400</v>
      </c>
      <c r="K53" s="90"/>
    </row>
    <row r="54" spans="2:12" outlineLevel="1" x14ac:dyDescent="0.2">
      <c r="B54" s="88">
        <v>4.83</v>
      </c>
      <c r="C54" t="s">
        <v>131</v>
      </c>
      <c r="D54" s="94">
        <v>310</v>
      </c>
      <c r="F54" s="130">
        <v>5</v>
      </c>
      <c r="I54" s="76">
        <f>D54*F54</f>
        <v>1550</v>
      </c>
      <c r="K54" s="90"/>
    </row>
    <row r="55" spans="2:12" outlineLevel="1" x14ac:dyDescent="0.2">
      <c r="B55" s="88">
        <v>10</v>
      </c>
      <c r="C55" t="s">
        <v>132</v>
      </c>
      <c r="D55" s="94">
        <v>2065</v>
      </c>
      <c r="G55" s="130">
        <v>2</v>
      </c>
      <c r="I55" s="76">
        <f>D55*G55</f>
        <v>4130</v>
      </c>
      <c r="K55" s="90"/>
    </row>
    <row r="56" spans="2:12" outlineLevel="1" x14ac:dyDescent="0.2">
      <c r="B56" s="88">
        <v>25</v>
      </c>
      <c r="C56" t="s">
        <v>178</v>
      </c>
      <c r="D56" s="94">
        <v>22125</v>
      </c>
      <c r="H56" s="130">
        <v>1</v>
      </c>
      <c r="I56" s="76">
        <f>D56*H56</f>
        <v>22125</v>
      </c>
      <c r="K56" s="90"/>
    </row>
    <row r="57" spans="2:12" outlineLevel="1" x14ac:dyDescent="0.2">
      <c r="B57" s="88"/>
      <c r="K57" s="90"/>
    </row>
    <row r="58" spans="2:12" outlineLevel="1" x14ac:dyDescent="0.2">
      <c r="B58" s="88" t="s">
        <v>133</v>
      </c>
      <c r="E58" s="52">
        <v>1</v>
      </c>
      <c r="F58" s="52">
        <v>1</v>
      </c>
      <c r="G58" s="52">
        <v>3</v>
      </c>
      <c r="H58" s="52">
        <v>8</v>
      </c>
      <c r="I58" s="52"/>
      <c r="K58" s="90"/>
    </row>
    <row r="59" spans="2:12" outlineLevel="1" x14ac:dyDescent="0.2">
      <c r="B59" s="88"/>
      <c r="C59" t="s">
        <v>146</v>
      </c>
      <c r="E59" s="55">
        <f>CEILING(B53*B53*3.5,1)*E53</f>
        <v>154</v>
      </c>
      <c r="F59" s="55">
        <f>CEILING(B54*B54*3.5,1)*F54</f>
        <v>410</v>
      </c>
      <c r="G59" s="55">
        <f>CEILING(B55*B55*3.5,1)*G55</f>
        <v>700</v>
      </c>
      <c r="H59" s="55">
        <f>CEILING(B56*B56*3.5,1)*H56</f>
        <v>2188</v>
      </c>
      <c r="I59" s="52"/>
      <c r="K59" s="90"/>
    </row>
    <row r="60" spans="2:12" outlineLevel="1" x14ac:dyDescent="0.2">
      <c r="B60" s="88"/>
      <c r="C60" t="s">
        <v>148</v>
      </c>
      <c r="E60" s="55">
        <f>E59*E58</f>
        <v>154</v>
      </c>
      <c r="F60" s="55">
        <f>F59*F58</f>
        <v>410</v>
      </c>
      <c r="G60" s="55">
        <f>G59*G58</f>
        <v>2100</v>
      </c>
      <c r="H60" s="55">
        <f>H59*H58</f>
        <v>17504</v>
      </c>
      <c r="I60" s="55">
        <f>SUM(E60:H60)</f>
        <v>20168</v>
      </c>
      <c r="K60" s="90"/>
    </row>
    <row r="61" spans="2:12" outlineLevel="1" x14ac:dyDescent="0.2">
      <c r="B61" s="88"/>
      <c r="C61" t="s">
        <v>147</v>
      </c>
      <c r="E61" s="116">
        <v>1250</v>
      </c>
      <c r="F61" s="116">
        <v>1800</v>
      </c>
      <c r="G61" s="116">
        <v>74100</v>
      </c>
      <c r="H61" s="116">
        <v>98300</v>
      </c>
      <c r="I61" s="116"/>
      <c r="K61" s="90"/>
    </row>
    <row r="62" spans="2:12" outlineLevel="1" x14ac:dyDescent="0.2">
      <c r="B62" s="88"/>
      <c r="C62" s="50" t="s">
        <v>123</v>
      </c>
      <c r="E62" s="43">
        <f>E58*E61*E53</f>
        <v>2500</v>
      </c>
      <c r="F62" s="43">
        <f>F58*F61*F54</f>
        <v>9000</v>
      </c>
      <c r="G62" s="43">
        <f>G58*G61*G55</f>
        <v>444600</v>
      </c>
      <c r="H62" s="43">
        <f>H58*H61</f>
        <v>786400</v>
      </c>
      <c r="I62" s="43">
        <f>SUM(E62:H62)</f>
        <v>1242500</v>
      </c>
      <c r="K62" s="90"/>
      <c r="L62" s="3"/>
    </row>
    <row r="63" spans="2:12" outlineLevel="1" x14ac:dyDescent="0.2">
      <c r="B63" s="88"/>
      <c r="K63" s="90"/>
    </row>
    <row r="64" spans="2:12" ht="16" outlineLevel="1" thickBot="1" x14ac:dyDescent="0.25">
      <c r="B64" s="88"/>
      <c r="E64" s="77">
        <f>-CEILING(PMT($I$134/12,$I$135*12,(E62*$I$133)),1)</f>
        <v>20</v>
      </c>
      <c r="F64" s="77">
        <f>-CEILING(PMT($I$134/12,$I$135*12,(F62*$I$133)),1)</f>
        <v>74</v>
      </c>
      <c r="G64" s="77">
        <f>-CEILING(PMT($I$134/12,$I$135*12,(G62*$I$133)),1)</f>
        <v>3701</v>
      </c>
      <c r="H64" s="77">
        <f>-CEILING(PMT($I$134/12,$I$135*12,(H62*$I$133)),1)</f>
        <v>6547</v>
      </c>
      <c r="I64" s="77">
        <f>-CEILING(PMT($I$134/12,$I$135*12,(I62*$I$133)),1)</f>
        <v>10345</v>
      </c>
      <c r="K64" s="90"/>
    </row>
    <row r="65" spans="2:11" ht="16" thickTop="1" x14ac:dyDescent="0.2">
      <c r="B65" s="88"/>
      <c r="K65" s="90"/>
    </row>
    <row r="66" spans="2:11" x14ac:dyDescent="0.2">
      <c r="B66" s="95" t="s">
        <v>128</v>
      </c>
      <c r="K66" s="90"/>
    </row>
    <row r="67" spans="2:11" outlineLevel="1" x14ac:dyDescent="0.2">
      <c r="B67" s="88"/>
      <c r="K67" s="90"/>
    </row>
    <row r="68" spans="2:11" outlineLevel="1" x14ac:dyDescent="0.2">
      <c r="B68" s="88"/>
      <c r="C68" s="52" t="s">
        <v>37</v>
      </c>
      <c r="D68" s="52"/>
      <c r="E68" s="67">
        <f>ROUND(E22/'General Parameters'!$E$16*'General Parameters'!$F$16,0)</f>
        <v>1505</v>
      </c>
      <c r="F68" s="79">
        <v>0</v>
      </c>
      <c r="G68" s="79">
        <v>0</v>
      </c>
      <c r="H68" s="79">
        <v>0</v>
      </c>
      <c r="I68" s="8">
        <f>SUM(E68:H68)</f>
        <v>1505</v>
      </c>
      <c r="K68" s="90"/>
    </row>
    <row r="69" spans="2:11" outlineLevel="1" x14ac:dyDescent="0.2">
      <c r="B69" s="88"/>
      <c r="C69" s="52" t="s">
        <v>48</v>
      </c>
      <c r="D69" s="52"/>
      <c r="E69" s="68">
        <f>CEILING(E31*('General Parameters'!$F$12/'General Parameters'!$E$12),1)</f>
        <v>318</v>
      </c>
      <c r="F69" s="68">
        <f>CEILING(F27*('General Parameters'!$F$14/'General Parameters'!$E$14),1)</f>
        <v>955</v>
      </c>
      <c r="G69" s="68">
        <f>CEILING(G27*('General Parameters'!$F$14/'General Parameters'!$E$14),1)</f>
        <v>720</v>
      </c>
      <c r="H69" s="68">
        <f>CEILING(H27*('General Parameters'!$F$15/'General Parameters'!$E$15),1)</f>
        <v>19404</v>
      </c>
      <c r="I69" s="8">
        <f t="shared" ref="I69:I73" si="0">SUM(E69:H69)</f>
        <v>21397</v>
      </c>
      <c r="K69" s="90"/>
    </row>
    <row r="70" spans="2:11" outlineLevel="1" x14ac:dyDescent="0.2">
      <c r="B70" s="88"/>
      <c r="C70" s="52" t="s">
        <v>3</v>
      </c>
      <c r="D70" s="52"/>
      <c r="E70" s="68">
        <f>ROUND((E27*0.5*12.05)*('General Parameters'!$F$11/100),0)</f>
        <v>0</v>
      </c>
      <c r="F70" s="68">
        <f>ROUND((F27*0.5*12.05)*('General Parameters'!$F$11/100),0)</f>
        <v>57</v>
      </c>
      <c r="G70" s="68">
        <f>ROUND((G27*0.5*12.05)*('General Parameters'!$F$11/100),0)</f>
        <v>43</v>
      </c>
      <c r="H70" s="68">
        <f>ROUND((H27*0.5*12.05)*('General Parameters'!$F$11/100),0)</f>
        <v>1169</v>
      </c>
      <c r="I70" s="8">
        <f t="shared" si="0"/>
        <v>1269</v>
      </c>
      <c r="K70" s="90"/>
    </row>
    <row r="71" spans="2:11" outlineLevel="1" x14ac:dyDescent="0.2">
      <c r="B71" s="88"/>
      <c r="C71" s="52" t="s">
        <v>1</v>
      </c>
      <c r="D71" s="52"/>
      <c r="E71" s="68">
        <f>CEILING(E39*('General Parameters'!$F$9/'General Parameters'!$E$9),1)</f>
        <v>1</v>
      </c>
      <c r="F71" s="68">
        <f>CEILING(F39*('General Parameters'!$F$9/'General Parameters'!$E$9),1)</f>
        <v>3</v>
      </c>
      <c r="G71" s="68">
        <f>CEILING(G39*('General Parameters'!$F$9/'General Parameters'!$E$9),1)</f>
        <v>1</v>
      </c>
      <c r="H71" s="68">
        <f>CEILING(H39*('General Parameters'!$F$9/'General Parameters'!$E$9),1)</f>
        <v>17</v>
      </c>
      <c r="I71" s="8">
        <f t="shared" si="0"/>
        <v>22</v>
      </c>
      <c r="K71" s="90"/>
    </row>
    <row r="72" spans="2:11" outlineLevel="1" x14ac:dyDescent="0.2">
      <c r="B72" s="88"/>
      <c r="C72" s="52" t="s">
        <v>2</v>
      </c>
      <c r="D72" s="52"/>
      <c r="E72" s="68">
        <f>CEILING(E41/'General Parameters'!$E$10*'General Parameters'!$F$10,1)</f>
        <v>662</v>
      </c>
      <c r="F72" s="68">
        <f>CEILING(F41/'General Parameters'!$E$10*'General Parameters'!$F$10,1)</f>
        <v>1643</v>
      </c>
      <c r="G72" s="68">
        <f>CEILING(G41/'General Parameters'!$E$10*'General Parameters'!$F$10,1)</f>
        <v>497</v>
      </c>
      <c r="H72" s="68">
        <f>CEILING(H41/'General Parameters'!$E$10*'General Parameters'!$F$10,1)</f>
        <v>5507</v>
      </c>
      <c r="I72" s="8">
        <f t="shared" si="0"/>
        <v>8309</v>
      </c>
      <c r="K72" s="90"/>
    </row>
    <row r="73" spans="2:11" outlineLevel="1" x14ac:dyDescent="0.2">
      <c r="B73" s="88"/>
      <c r="C73" s="52" t="s">
        <v>158</v>
      </c>
      <c r="D73" s="52"/>
      <c r="E73" s="53"/>
      <c r="F73" s="53"/>
      <c r="G73" s="68">
        <f>G43</f>
        <v>260</v>
      </c>
      <c r="H73" s="68">
        <f>H43</f>
        <v>1248</v>
      </c>
      <c r="I73" s="8">
        <f t="shared" si="0"/>
        <v>1508</v>
      </c>
      <c r="K73" s="90"/>
    </row>
    <row r="74" spans="2:11" outlineLevel="1" x14ac:dyDescent="0.2">
      <c r="B74" s="88"/>
      <c r="C74" s="97" t="s">
        <v>144</v>
      </c>
      <c r="D74" s="52"/>
      <c r="E74" s="80"/>
      <c r="F74" s="80"/>
      <c r="G74" s="80"/>
      <c r="H74" s="80"/>
      <c r="I74" s="68"/>
      <c r="K74" s="90"/>
    </row>
    <row r="75" spans="2:11" outlineLevel="1" x14ac:dyDescent="0.2">
      <c r="B75" s="88"/>
      <c r="C75" s="98" t="s">
        <v>145</v>
      </c>
      <c r="E75" s="8">
        <f>SUM(E68:E72)</f>
        <v>2486</v>
      </c>
      <c r="F75" s="8">
        <f>SUM(F68:F72)</f>
        <v>2658</v>
      </c>
      <c r="G75" s="8">
        <f>SUM(G68:G73)</f>
        <v>1521</v>
      </c>
      <c r="H75" s="8">
        <f>SUM(H68:H73)</f>
        <v>27345</v>
      </c>
      <c r="I75" s="68">
        <f>SUM(I68:I73)</f>
        <v>34010</v>
      </c>
      <c r="K75" s="90"/>
    </row>
    <row r="76" spans="2:11" outlineLevel="1" x14ac:dyDescent="0.2">
      <c r="B76" s="88"/>
      <c r="F76" s="47" t="s">
        <v>196</v>
      </c>
      <c r="G76" s="78">
        <f>SUM(E75:G75)/$G$23</f>
        <v>0.9802912192969554</v>
      </c>
      <c r="K76" s="90"/>
    </row>
    <row r="77" spans="2:11" outlineLevel="1" x14ac:dyDescent="0.2">
      <c r="B77" s="95" t="s">
        <v>57</v>
      </c>
      <c r="K77" s="90"/>
    </row>
    <row r="78" spans="2:11" outlineLevel="1" x14ac:dyDescent="0.2">
      <c r="B78" s="88"/>
      <c r="C78" s="52" t="s">
        <v>37</v>
      </c>
      <c r="D78" s="52"/>
      <c r="E78" s="115">
        <f t="shared" ref="E78:H82" si="1">E68/E$23</f>
        <v>0.2071290944123314</v>
      </c>
      <c r="F78" s="115">
        <f t="shared" si="1"/>
        <v>0</v>
      </c>
      <c r="G78" s="115">
        <f t="shared" si="1"/>
        <v>0</v>
      </c>
      <c r="H78" s="115">
        <f t="shared" si="1"/>
        <v>0</v>
      </c>
      <c r="I78" s="78">
        <f t="shared" ref="I78:I83" si="2">I68/$H$23</f>
        <v>0.23228893347738849</v>
      </c>
      <c r="K78" s="90"/>
    </row>
    <row r="79" spans="2:11" outlineLevel="1" x14ac:dyDescent="0.2">
      <c r="B79" s="88"/>
      <c r="C79" s="52" t="s">
        <v>48</v>
      </c>
      <c r="D79" s="52"/>
      <c r="E79" s="115">
        <f t="shared" si="1"/>
        <v>4.376548307184145E-2</v>
      </c>
      <c r="F79" s="115">
        <f t="shared" si="1"/>
        <v>0.13412921348314608</v>
      </c>
      <c r="G79" s="115">
        <f t="shared" si="1"/>
        <v>0.1058979261656126</v>
      </c>
      <c r="H79" s="115">
        <f t="shared" si="1"/>
        <v>2.99490662139219</v>
      </c>
      <c r="I79" s="78">
        <f t="shared" si="2"/>
        <v>3.3025158203426455</v>
      </c>
      <c r="K79" s="90"/>
    </row>
    <row r="80" spans="2:11" outlineLevel="1" x14ac:dyDescent="0.2">
      <c r="B80" s="88"/>
      <c r="C80" s="52" t="s">
        <v>3</v>
      </c>
      <c r="D80" s="52"/>
      <c r="E80" s="115">
        <f t="shared" si="1"/>
        <v>0</v>
      </c>
      <c r="F80" s="115">
        <f t="shared" si="1"/>
        <v>8.0056179775280893E-3</v>
      </c>
      <c r="G80" s="115">
        <f t="shared" si="1"/>
        <v>6.3244594793351967E-3</v>
      </c>
      <c r="H80" s="115">
        <f t="shared" si="1"/>
        <v>0.18042907856150642</v>
      </c>
      <c r="I80" s="78">
        <f t="shared" si="2"/>
        <v>0.19586355919123322</v>
      </c>
      <c r="K80" s="90"/>
    </row>
    <row r="81" spans="2:11" outlineLevel="1" x14ac:dyDescent="0.2">
      <c r="B81" s="88"/>
      <c r="C81" s="52" t="s">
        <v>1</v>
      </c>
      <c r="D81" s="52"/>
      <c r="E81" s="115">
        <f t="shared" si="1"/>
        <v>1.3762730525736306E-4</v>
      </c>
      <c r="F81" s="115">
        <f t="shared" si="1"/>
        <v>4.2134831460674158E-4</v>
      </c>
      <c r="G81" s="115">
        <f t="shared" si="1"/>
        <v>1.4708045300779526E-4</v>
      </c>
      <c r="H81" s="115">
        <f t="shared" si="1"/>
        <v>2.6238617070535575E-3</v>
      </c>
      <c r="I81" s="78">
        <f t="shared" si="2"/>
        <v>3.3955857385398981E-3</v>
      </c>
      <c r="K81" s="90"/>
    </row>
    <row r="82" spans="2:11" outlineLevel="1" x14ac:dyDescent="0.2">
      <c r="B82" s="88"/>
      <c r="C82" s="52" t="s">
        <v>2</v>
      </c>
      <c r="D82" s="52"/>
      <c r="E82" s="115">
        <f t="shared" si="1"/>
        <v>9.1109276080374349E-2</v>
      </c>
      <c r="F82" s="115">
        <f t="shared" si="1"/>
        <v>0.23075842696629215</v>
      </c>
      <c r="G82" s="115">
        <f t="shared" si="1"/>
        <v>7.3098985144874243E-2</v>
      </c>
      <c r="H82" s="115">
        <f t="shared" si="1"/>
        <v>0.8499768482790554</v>
      </c>
      <c r="I82" s="78">
        <f t="shared" si="2"/>
        <v>1.2824509955240007</v>
      </c>
      <c r="K82" s="90"/>
    </row>
    <row r="83" spans="2:11" outlineLevel="1" x14ac:dyDescent="0.2">
      <c r="B83" s="88"/>
      <c r="C83" s="52" t="s">
        <v>158</v>
      </c>
      <c r="D83" s="52"/>
      <c r="E83" s="53"/>
      <c r="F83" s="53"/>
      <c r="G83" s="115">
        <f>G73/G$23</f>
        <v>3.8240917782026769E-2</v>
      </c>
      <c r="H83" s="115">
        <f>H73/H$23</f>
        <v>0.19262231825899059</v>
      </c>
      <c r="I83" s="78">
        <f t="shared" si="2"/>
        <v>0.2327519678962803</v>
      </c>
      <c r="K83" s="90"/>
    </row>
    <row r="84" spans="2:11" outlineLevel="1" x14ac:dyDescent="0.2">
      <c r="B84" s="88"/>
      <c r="C84" s="97" t="s">
        <v>144</v>
      </c>
      <c r="D84" s="52"/>
      <c r="E84" s="80"/>
      <c r="F84" s="80"/>
      <c r="G84" s="80"/>
      <c r="H84" s="80"/>
      <c r="I84" s="80"/>
      <c r="K84" s="90"/>
    </row>
    <row r="85" spans="2:11" outlineLevel="1" x14ac:dyDescent="0.2">
      <c r="B85" s="88"/>
      <c r="C85" s="98" t="s">
        <v>145</v>
      </c>
      <c r="E85" s="78">
        <f>SUM(E78:E82)</f>
        <v>0.34214148086980456</v>
      </c>
      <c r="F85" s="78">
        <f>SUM(F78:F82)</f>
        <v>0.37331460674157302</v>
      </c>
      <c r="G85" s="78">
        <f>SUM(G78:G83)</f>
        <v>0.22370936902485661</v>
      </c>
      <c r="H85" s="78">
        <f>SUM(H78:H83)</f>
        <v>4.220558728198796</v>
      </c>
      <c r="I85" s="115">
        <f>SUM(I78:I83)</f>
        <v>5.2492668621700878</v>
      </c>
      <c r="K85" s="90"/>
    </row>
    <row r="86" spans="2:11" outlineLevel="1" x14ac:dyDescent="0.2">
      <c r="B86" s="88"/>
      <c r="K86" s="90"/>
    </row>
    <row r="87" spans="2:11" outlineLevel="1" x14ac:dyDescent="0.2">
      <c r="B87" s="95" t="s">
        <v>127</v>
      </c>
      <c r="K87" s="90"/>
    </row>
    <row r="88" spans="2:11" outlineLevel="1" x14ac:dyDescent="0.2">
      <c r="B88" s="88"/>
      <c r="C88" s="52" t="s">
        <v>37</v>
      </c>
      <c r="D88" s="52"/>
      <c r="E88" s="115">
        <f t="shared" ref="E88:H92" si="3">E68/E$25</f>
        <v>215</v>
      </c>
      <c r="F88" s="115">
        <f t="shared" si="3"/>
        <v>0</v>
      </c>
      <c r="G88" s="115">
        <f t="shared" si="3"/>
        <v>0</v>
      </c>
      <c r="H88" s="115">
        <f t="shared" si="3"/>
        <v>0</v>
      </c>
      <c r="I88" s="78">
        <f t="shared" ref="I88:I93" si="4">I68/$H$25</f>
        <v>0.18812499999999999</v>
      </c>
      <c r="K88" s="90"/>
    </row>
    <row r="89" spans="2:11" outlineLevel="1" x14ac:dyDescent="0.2">
      <c r="B89" s="88"/>
      <c r="C89" s="52" t="s">
        <v>48</v>
      </c>
      <c r="D89" s="52"/>
      <c r="E89" s="115">
        <f t="shared" si="3"/>
        <v>45.428571428571431</v>
      </c>
      <c r="F89" s="115">
        <f t="shared" si="3"/>
        <v>0.90693257359924029</v>
      </c>
      <c r="G89" s="115">
        <f t="shared" si="3"/>
        <v>0.45340050377833752</v>
      </c>
      <c r="H89" s="115">
        <f t="shared" si="3"/>
        <v>2.4255</v>
      </c>
      <c r="I89" s="78">
        <f t="shared" si="4"/>
        <v>2.6746249999999998</v>
      </c>
      <c r="K89" s="90"/>
    </row>
    <row r="90" spans="2:11" outlineLevel="1" x14ac:dyDescent="0.2">
      <c r="B90" s="88"/>
      <c r="C90" s="52" t="s">
        <v>3</v>
      </c>
      <c r="D90" s="52"/>
      <c r="E90" s="115">
        <f t="shared" si="3"/>
        <v>0</v>
      </c>
      <c r="F90" s="115">
        <f t="shared" si="3"/>
        <v>5.4131054131054131E-2</v>
      </c>
      <c r="G90" s="115">
        <f t="shared" si="3"/>
        <v>2.7078085642317382E-2</v>
      </c>
      <c r="H90" s="115">
        <f t="shared" si="3"/>
        <v>0.146125</v>
      </c>
      <c r="I90" s="78">
        <f t="shared" si="4"/>
        <v>0.15862499999999999</v>
      </c>
      <c r="K90" s="90"/>
    </row>
    <row r="91" spans="2:11" outlineLevel="1" x14ac:dyDescent="0.2">
      <c r="B91" s="88"/>
      <c r="C91" s="52" t="s">
        <v>1</v>
      </c>
      <c r="D91" s="52"/>
      <c r="E91" s="115">
        <f t="shared" si="3"/>
        <v>0.14285714285714285</v>
      </c>
      <c r="F91" s="115">
        <f t="shared" si="3"/>
        <v>2.8490028490028491E-3</v>
      </c>
      <c r="G91" s="115">
        <f t="shared" si="3"/>
        <v>6.2972292191435767E-4</v>
      </c>
      <c r="H91" s="115">
        <f t="shared" si="3"/>
        <v>2.1250000000000002E-3</v>
      </c>
      <c r="I91" s="78">
        <f t="shared" si="4"/>
        <v>2.7499999999999998E-3</v>
      </c>
      <c r="K91" s="90"/>
    </row>
    <row r="92" spans="2:11" outlineLevel="1" x14ac:dyDescent="0.2">
      <c r="B92" s="88"/>
      <c r="C92" s="52" t="s">
        <v>2</v>
      </c>
      <c r="D92" s="52"/>
      <c r="E92" s="115">
        <f t="shared" si="3"/>
        <v>94.571428571428569</v>
      </c>
      <c r="F92" s="115">
        <f t="shared" si="3"/>
        <v>1.5603038936372269</v>
      </c>
      <c r="G92" s="115">
        <f t="shared" si="3"/>
        <v>0.31297229219143574</v>
      </c>
      <c r="H92" s="115">
        <f t="shared" si="3"/>
        <v>0.68837499999999996</v>
      </c>
      <c r="I92" s="78">
        <f t="shared" si="4"/>
        <v>1.0386249999999999</v>
      </c>
      <c r="K92" s="90"/>
    </row>
    <row r="93" spans="2:11" outlineLevel="1" x14ac:dyDescent="0.2">
      <c r="B93" s="88"/>
      <c r="C93" s="52" t="s">
        <v>158</v>
      </c>
      <c r="D93" s="52"/>
      <c r="E93" s="53"/>
      <c r="F93" s="53"/>
      <c r="G93" s="115">
        <f>G73/G$25</f>
        <v>0.16372795969773299</v>
      </c>
      <c r="H93" s="115">
        <f>H73/H$25</f>
        <v>0.156</v>
      </c>
      <c r="I93" s="78">
        <f t="shared" si="4"/>
        <v>0.1885</v>
      </c>
      <c r="K93" s="90"/>
    </row>
    <row r="94" spans="2:11" outlineLevel="1" x14ac:dyDescent="0.2">
      <c r="B94" s="88"/>
      <c r="C94" s="97" t="s">
        <v>144</v>
      </c>
      <c r="D94" s="52"/>
      <c r="E94" s="80"/>
      <c r="F94" s="80"/>
      <c r="G94" s="80"/>
      <c r="H94" s="80"/>
      <c r="I94" s="80"/>
      <c r="K94" s="90"/>
    </row>
    <row r="95" spans="2:11" outlineLevel="1" x14ac:dyDescent="0.2">
      <c r="B95" s="88"/>
      <c r="C95" s="98" t="s">
        <v>145</v>
      </c>
      <c r="E95" s="78">
        <f>SUM(E88:E92)</f>
        <v>355.14285714285717</v>
      </c>
      <c r="F95" s="78">
        <f t="shared" ref="F95" si="5">SUM(F88:F92)</f>
        <v>2.524216524216524</v>
      </c>
      <c r="G95" s="78">
        <f>SUM(G88:G93)</f>
        <v>0.95780856423173799</v>
      </c>
      <c r="H95" s="78">
        <f>SUM(H88:H93)</f>
        <v>3.4181250000000003</v>
      </c>
      <c r="I95" s="115">
        <f>SUM(I88:I93)</f>
        <v>4.2512499999999998</v>
      </c>
      <c r="K95" s="90"/>
    </row>
    <row r="96" spans="2:11" outlineLevel="1" x14ac:dyDescent="0.2">
      <c r="B96" s="88"/>
      <c r="K96" s="90"/>
    </row>
    <row r="97" spans="2:11" x14ac:dyDescent="0.2">
      <c r="B97" s="88"/>
      <c r="G97" s="99" t="s">
        <v>156</v>
      </c>
      <c r="H97" s="99"/>
      <c r="I97" s="132">
        <v>27</v>
      </c>
      <c r="K97" s="90"/>
    </row>
    <row r="98" spans="2:11" x14ac:dyDescent="0.2">
      <c r="B98" s="88"/>
      <c r="G98" s="99"/>
      <c r="H98" s="99"/>
      <c r="K98" s="90"/>
    </row>
    <row r="99" spans="2:11" x14ac:dyDescent="0.2">
      <c r="B99" s="88"/>
      <c r="G99" s="99"/>
      <c r="H99" s="47" t="s">
        <v>173</v>
      </c>
      <c r="I99" s="141">
        <v>0</v>
      </c>
      <c r="K99" s="90"/>
    </row>
    <row r="100" spans="2:11" x14ac:dyDescent="0.2">
      <c r="B100" s="88"/>
      <c r="G100" s="99"/>
      <c r="H100" s="99"/>
      <c r="K100" s="90"/>
    </row>
    <row r="101" spans="2:11" x14ac:dyDescent="0.2">
      <c r="B101" s="88"/>
      <c r="G101" s="99"/>
      <c r="H101" s="99"/>
      <c r="K101" s="90"/>
    </row>
    <row r="102" spans="2:11" ht="24" x14ac:dyDescent="0.3">
      <c r="B102" s="46"/>
      <c r="C102" s="106" t="s">
        <v>202</v>
      </c>
      <c r="D102" s="52"/>
      <c r="E102" s="52"/>
      <c r="F102" s="52"/>
      <c r="G102" s="52"/>
      <c r="H102" s="52"/>
      <c r="I102" s="52"/>
      <c r="K102" s="90"/>
    </row>
    <row r="103" spans="2:11" x14ac:dyDescent="0.2">
      <c r="B103" s="46"/>
      <c r="C103" s="52"/>
      <c r="D103" s="52"/>
      <c r="E103" s="52"/>
      <c r="F103" s="52"/>
      <c r="G103" s="52"/>
      <c r="H103" s="52"/>
      <c r="I103" s="52"/>
      <c r="K103" s="90"/>
    </row>
    <row r="104" spans="2:11" ht="16" x14ac:dyDescent="0.2">
      <c r="B104" s="100" t="s">
        <v>136</v>
      </c>
      <c r="C104" s="52"/>
      <c r="D104" s="52"/>
      <c r="E104" s="52"/>
      <c r="F104" s="52"/>
      <c r="G104" s="52"/>
      <c r="H104" s="52"/>
      <c r="I104" s="52"/>
      <c r="K104" s="90"/>
    </row>
    <row r="105" spans="2:11" ht="16" thickBot="1" x14ac:dyDescent="0.25">
      <c r="B105" s="46"/>
      <c r="C105" s="52" t="s">
        <v>137</v>
      </c>
      <c r="D105" s="52"/>
      <c r="E105" s="52"/>
      <c r="F105" s="52"/>
      <c r="G105" s="52"/>
      <c r="H105" s="52"/>
      <c r="I105" s="41">
        <f>(H20*12*H45)*I97</f>
        <v>16848000</v>
      </c>
      <c r="K105" s="90"/>
    </row>
    <row r="106" spans="2:11" x14ac:dyDescent="0.2">
      <c r="B106" s="46"/>
      <c r="C106" s="52" t="s">
        <v>141</v>
      </c>
      <c r="D106" s="52"/>
      <c r="E106" s="52"/>
      <c r="F106" s="52"/>
      <c r="G106" s="52"/>
      <c r="H106" s="52"/>
      <c r="I106" s="52"/>
      <c r="K106" s="90"/>
    </row>
    <row r="107" spans="2:11" x14ac:dyDescent="0.2">
      <c r="B107" s="46"/>
      <c r="C107" s="97" t="str">
        <f>C88</f>
        <v>Eggs</v>
      </c>
      <c r="D107" s="52"/>
      <c r="E107" s="52"/>
      <c r="F107" s="52"/>
      <c r="G107" s="52"/>
      <c r="H107" s="52"/>
      <c r="I107" s="55">
        <f t="shared" ref="I107:I112" si="6">I68*$I$20*$I$97</f>
        <v>487620</v>
      </c>
      <c r="K107" s="101"/>
    </row>
    <row r="108" spans="2:11" x14ac:dyDescent="0.2">
      <c r="B108" s="46"/>
      <c r="C108" s="97" t="str">
        <f t="shared" ref="C108:C111" si="7">C89</f>
        <v>Feed</v>
      </c>
      <c r="D108" s="52"/>
      <c r="E108" s="52"/>
      <c r="F108" s="52"/>
      <c r="G108" s="52"/>
      <c r="H108" s="52"/>
      <c r="I108" s="55">
        <f t="shared" si="6"/>
        <v>6932628</v>
      </c>
      <c r="K108" s="101"/>
    </row>
    <row r="109" spans="2:11" x14ac:dyDescent="0.2">
      <c r="B109" s="46"/>
      <c r="C109" s="97" t="str">
        <f t="shared" si="7"/>
        <v>Oxygen</v>
      </c>
      <c r="D109" s="52"/>
      <c r="E109" s="52"/>
      <c r="F109" s="52"/>
      <c r="G109" s="52"/>
      <c r="H109" s="52"/>
      <c r="I109" s="55">
        <f t="shared" si="6"/>
        <v>411156</v>
      </c>
      <c r="K109" s="101"/>
    </row>
    <row r="110" spans="2:11" x14ac:dyDescent="0.2">
      <c r="B110" s="46"/>
      <c r="C110" s="97" t="str">
        <f t="shared" si="7"/>
        <v>Water</v>
      </c>
      <c r="D110" s="52"/>
      <c r="E110" s="52"/>
      <c r="F110" s="52"/>
      <c r="G110" s="52"/>
      <c r="H110" s="52"/>
      <c r="I110" s="55">
        <f t="shared" si="6"/>
        <v>7128</v>
      </c>
      <c r="K110" s="101"/>
    </row>
    <row r="111" spans="2:11" x14ac:dyDescent="0.2">
      <c r="B111" s="46"/>
      <c r="C111" s="97" t="str">
        <f t="shared" si="7"/>
        <v>Electric</v>
      </c>
      <c r="D111" s="52"/>
      <c r="E111" s="52"/>
      <c r="F111" s="52"/>
      <c r="G111" s="52"/>
      <c r="H111" s="52"/>
      <c r="I111" s="55">
        <f t="shared" si="6"/>
        <v>2692116</v>
      </c>
      <c r="K111" s="101"/>
    </row>
    <row r="112" spans="2:11" x14ac:dyDescent="0.2">
      <c r="B112" s="46"/>
      <c r="C112" s="97" t="s">
        <v>159</v>
      </c>
      <c r="D112" s="52"/>
      <c r="E112" s="52"/>
      <c r="F112" s="52"/>
      <c r="G112" s="52"/>
      <c r="H112" s="52"/>
      <c r="I112" s="55">
        <f t="shared" si="6"/>
        <v>488592</v>
      </c>
      <c r="K112" s="101"/>
    </row>
    <row r="113" spans="2:11" ht="16" thickBot="1" x14ac:dyDescent="0.25">
      <c r="B113" s="46"/>
      <c r="C113" s="52"/>
      <c r="D113" s="102" t="s">
        <v>200</v>
      </c>
      <c r="E113" s="52"/>
      <c r="F113" s="52"/>
      <c r="G113" s="52"/>
      <c r="H113" s="52"/>
      <c r="I113" s="41">
        <f>SUM(I106:I112)</f>
        <v>11019240</v>
      </c>
      <c r="K113" s="101"/>
    </row>
    <row r="114" spans="2:11" x14ac:dyDescent="0.2">
      <c r="B114" s="46"/>
      <c r="C114" s="52"/>
      <c r="D114" s="52"/>
      <c r="E114" s="52"/>
      <c r="F114" s="52"/>
      <c r="G114" s="52"/>
      <c r="H114" s="52"/>
      <c r="I114" s="55"/>
      <c r="K114" s="90"/>
    </row>
    <row r="115" spans="2:11" ht="17" thickBot="1" x14ac:dyDescent="0.25">
      <c r="B115" s="46"/>
      <c r="C115" s="52"/>
      <c r="D115" s="52"/>
      <c r="E115" s="103" t="s">
        <v>138</v>
      </c>
      <c r="F115" s="52"/>
      <c r="G115" s="52"/>
      <c r="H115" s="52"/>
      <c r="I115" s="42">
        <f>I105-I113</f>
        <v>5828760</v>
      </c>
      <c r="K115" s="90"/>
    </row>
    <row r="116" spans="2:11" ht="16" thickTop="1" x14ac:dyDescent="0.2">
      <c r="B116" s="46"/>
      <c r="C116" s="52"/>
      <c r="D116" s="52"/>
      <c r="E116" s="52"/>
      <c r="F116" s="52"/>
      <c r="G116" s="52"/>
      <c r="H116" s="52"/>
      <c r="I116" s="52"/>
      <c r="K116" s="90"/>
    </row>
    <row r="117" spans="2:11" x14ac:dyDescent="0.2">
      <c r="B117" s="46"/>
      <c r="C117" s="52"/>
      <c r="D117" s="52"/>
      <c r="E117" s="52"/>
      <c r="F117" s="52"/>
      <c r="G117" s="52"/>
      <c r="H117" s="52"/>
      <c r="I117" s="52"/>
      <c r="K117" s="90"/>
    </row>
    <row r="118" spans="2:11" ht="29.25" customHeight="1" x14ac:dyDescent="0.2">
      <c r="B118" s="100" t="s">
        <v>198</v>
      </c>
      <c r="C118" s="52"/>
      <c r="D118" s="52"/>
      <c r="E118" s="52"/>
      <c r="F118" s="147" t="s">
        <v>197</v>
      </c>
      <c r="G118" s="147"/>
      <c r="H118" s="147"/>
      <c r="I118" s="52"/>
      <c r="K118" s="90"/>
    </row>
    <row r="119" spans="2:11" x14ac:dyDescent="0.2">
      <c r="B119" s="46"/>
      <c r="C119" s="97" t="s">
        <v>139</v>
      </c>
      <c r="D119" s="52"/>
      <c r="E119" s="52"/>
      <c r="F119" s="52"/>
      <c r="G119" s="52"/>
      <c r="H119" s="52"/>
      <c r="I119" s="55">
        <f>'General Parameters'!E27*(I97/6)</f>
        <v>351000</v>
      </c>
      <c r="K119" s="90"/>
    </row>
    <row r="120" spans="2:11" x14ac:dyDescent="0.2">
      <c r="B120" s="46"/>
      <c r="C120" s="97" t="s">
        <v>157</v>
      </c>
      <c r="D120" s="52"/>
      <c r="E120" s="52"/>
      <c r="F120" s="52"/>
      <c r="G120" s="52"/>
      <c r="H120" s="52"/>
      <c r="I120" s="55">
        <f>H17*F17*2080*I97</f>
        <v>1095120</v>
      </c>
      <c r="K120" s="90"/>
    </row>
    <row r="121" spans="2:11" x14ac:dyDescent="0.2">
      <c r="B121" s="46"/>
      <c r="C121" s="97" t="s">
        <v>174</v>
      </c>
      <c r="D121" s="104">
        <v>0.01</v>
      </c>
      <c r="E121" s="61" t="s">
        <v>199</v>
      </c>
      <c r="F121" s="52"/>
      <c r="G121" s="52"/>
      <c r="H121" s="52"/>
      <c r="I121" s="55">
        <f>D121*G146</f>
        <v>335475</v>
      </c>
      <c r="K121" s="90"/>
    </row>
    <row r="122" spans="2:11" ht="16" thickBot="1" x14ac:dyDescent="0.25">
      <c r="B122" s="46"/>
      <c r="C122" s="52"/>
      <c r="D122" s="102" t="s">
        <v>201</v>
      </c>
      <c r="E122" s="52"/>
      <c r="F122" s="52"/>
      <c r="G122" s="52"/>
      <c r="H122" s="52"/>
      <c r="I122" s="41">
        <f>SUM(I119:I121)</f>
        <v>1781595</v>
      </c>
      <c r="K122" s="90"/>
    </row>
    <row r="123" spans="2:11" x14ac:dyDescent="0.2">
      <c r="B123" s="46"/>
      <c r="C123" s="52"/>
      <c r="D123" s="52"/>
      <c r="E123" s="52"/>
      <c r="F123" s="52"/>
      <c r="G123" s="52"/>
      <c r="H123" s="52"/>
      <c r="I123" s="52"/>
      <c r="K123" s="90"/>
    </row>
    <row r="124" spans="2:11" ht="17" thickBot="1" x14ac:dyDescent="0.25">
      <c r="B124" s="46"/>
      <c r="C124" s="52"/>
      <c r="D124" s="52"/>
      <c r="E124" s="103" t="s">
        <v>186</v>
      </c>
      <c r="F124" s="52"/>
      <c r="G124" s="52"/>
      <c r="H124" s="52"/>
      <c r="I124" s="42">
        <f>I115-I122</f>
        <v>4047165</v>
      </c>
      <c r="K124" s="90"/>
    </row>
    <row r="125" spans="2:11" ht="17" thickTop="1" x14ac:dyDescent="0.2">
      <c r="B125" s="46"/>
      <c r="C125" s="52"/>
      <c r="D125" s="52"/>
      <c r="E125" s="103"/>
      <c r="F125" s="52"/>
      <c r="G125" s="52"/>
      <c r="H125" s="52"/>
      <c r="I125" s="51"/>
      <c r="K125" s="90"/>
    </row>
    <row r="126" spans="2:11" x14ac:dyDescent="0.2">
      <c r="B126" s="105"/>
      <c r="C126" s="72" t="s">
        <v>152</v>
      </c>
      <c r="D126" s="72"/>
      <c r="E126" s="72"/>
      <c r="F126" s="72"/>
      <c r="G126" s="72"/>
      <c r="H126" s="72"/>
      <c r="I126" s="73">
        <f>I97*J20</f>
        <v>2592000</v>
      </c>
      <c r="K126" s="90"/>
    </row>
    <row r="127" spans="2:11" x14ac:dyDescent="0.2">
      <c r="B127" s="88"/>
      <c r="C127" s="50"/>
      <c r="D127" s="50"/>
      <c r="E127" s="50"/>
      <c r="F127" s="50"/>
      <c r="G127" s="50"/>
      <c r="H127" s="50"/>
      <c r="I127" s="54"/>
      <c r="K127" s="90"/>
    </row>
    <row r="128" spans="2:11" x14ac:dyDescent="0.2">
      <c r="B128" s="88"/>
      <c r="C128" s="50"/>
      <c r="D128" s="50"/>
      <c r="E128" s="50"/>
      <c r="F128" s="50"/>
      <c r="G128" s="50"/>
      <c r="H128" s="50"/>
      <c r="I128" s="54"/>
      <c r="K128" s="90"/>
    </row>
    <row r="129" spans="2:12" x14ac:dyDescent="0.2">
      <c r="B129" s="88"/>
      <c r="K129" s="90"/>
    </row>
    <row r="130" spans="2:12" ht="24" x14ac:dyDescent="0.3">
      <c r="B130" s="46"/>
      <c r="C130" s="106" t="s">
        <v>221</v>
      </c>
      <c r="D130" s="52"/>
      <c r="E130" s="52"/>
      <c r="F130" s="52"/>
      <c r="G130" s="52"/>
      <c r="H130" s="52"/>
      <c r="I130" s="52"/>
      <c r="K130" s="90"/>
    </row>
    <row r="131" spans="2:12" ht="16.5" customHeight="1" x14ac:dyDescent="0.3">
      <c r="B131" s="46"/>
      <c r="C131" s="106"/>
      <c r="D131" s="52"/>
      <c r="E131" s="52"/>
      <c r="F131" s="52"/>
      <c r="G131" s="52"/>
      <c r="H131" s="52"/>
      <c r="I131" s="52"/>
      <c r="K131" s="90"/>
    </row>
    <row r="132" spans="2:12" ht="16" x14ac:dyDescent="0.2">
      <c r="B132" s="100" t="s">
        <v>168</v>
      </c>
      <c r="C132" s="52"/>
      <c r="D132" s="52"/>
      <c r="E132" s="52"/>
      <c r="F132" s="52"/>
      <c r="G132" s="52"/>
      <c r="H132" s="52"/>
      <c r="I132" s="52"/>
      <c r="K132" s="90"/>
    </row>
    <row r="133" spans="2:12" x14ac:dyDescent="0.2">
      <c r="B133" s="46"/>
      <c r="C133" s="52"/>
      <c r="D133" s="52"/>
      <c r="E133" s="52" t="s">
        <v>211</v>
      </c>
      <c r="F133" s="52"/>
      <c r="G133" s="52"/>
      <c r="H133" s="52"/>
      <c r="I133" s="142">
        <v>0.75</v>
      </c>
      <c r="K133" s="90"/>
    </row>
    <row r="134" spans="2:12" x14ac:dyDescent="0.2">
      <c r="B134" s="46"/>
      <c r="C134" s="52"/>
      <c r="D134" s="52"/>
      <c r="E134" s="52" t="s">
        <v>163</v>
      </c>
      <c r="F134" s="52"/>
      <c r="G134" s="52"/>
      <c r="H134" s="52"/>
      <c r="I134" s="142">
        <v>0.06</v>
      </c>
      <c r="K134" s="90"/>
    </row>
    <row r="135" spans="2:12" x14ac:dyDescent="0.2">
      <c r="B135" s="46"/>
      <c r="C135" s="52"/>
      <c r="D135" s="52"/>
      <c r="E135" s="52" t="s">
        <v>165</v>
      </c>
      <c r="F135" s="52" t="s">
        <v>164</v>
      </c>
      <c r="G135" s="52"/>
      <c r="H135" s="52"/>
      <c r="I135" s="130">
        <v>10</v>
      </c>
      <c r="K135" s="90"/>
    </row>
    <row r="136" spans="2:12" x14ac:dyDescent="0.2">
      <c r="B136" s="46"/>
      <c r="C136" s="52"/>
      <c r="D136" s="52"/>
      <c r="E136" s="52"/>
      <c r="F136" s="52"/>
      <c r="G136" s="52"/>
      <c r="H136" s="52"/>
      <c r="I136" s="52"/>
      <c r="K136" s="90"/>
    </row>
    <row r="137" spans="2:12" x14ac:dyDescent="0.2">
      <c r="B137" s="46"/>
      <c r="C137" s="52"/>
      <c r="D137" s="52"/>
      <c r="E137" s="52" t="s">
        <v>212</v>
      </c>
      <c r="F137" s="52"/>
      <c r="G137" s="52"/>
      <c r="H137" s="52"/>
      <c r="I137" s="142">
        <v>0.75</v>
      </c>
      <c r="K137" s="90"/>
    </row>
    <row r="138" spans="2:12" x14ac:dyDescent="0.2">
      <c r="B138" s="46"/>
      <c r="C138" s="52"/>
      <c r="D138" s="52"/>
      <c r="E138" s="52" t="s">
        <v>167</v>
      </c>
      <c r="F138" s="52"/>
      <c r="G138" s="52"/>
      <c r="H138" s="52"/>
      <c r="I138" s="142">
        <v>0.05</v>
      </c>
      <c r="K138" s="90"/>
    </row>
    <row r="139" spans="2:12" x14ac:dyDescent="0.2">
      <c r="B139" s="46"/>
      <c r="C139" s="52"/>
      <c r="D139" s="52"/>
      <c r="E139" s="52" t="s">
        <v>166</v>
      </c>
      <c r="F139" s="52"/>
      <c r="G139" s="52"/>
      <c r="H139" s="52"/>
      <c r="I139" s="130">
        <v>20</v>
      </c>
      <c r="K139" s="90"/>
    </row>
    <row r="140" spans="2:12" x14ac:dyDescent="0.2">
      <c r="B140" s="46"/>
      <c r="C140" s="52"/>
      <c r="D140" s="52"/>
      <c r="E140" s="52"/>
      <c r="F140" s="52"/>
      <c r="G140" s="52"/>
      <c r="H140" s="52"/>
      <c r="I140" s="52"/>
      <c r="K140" s="90"/>
    </row>
    <row r="141" spans="2:12" x14ac:dyDescent="0.2">
      <c r="B141" s="46"/>
      <c r="C141" s="52"/>
      <c r="D141" s="52"/>
      <c r="E141" s="52" t="s">
        <v>172</v>
      </c>
      <c r="F141" s="52"/>
      <c r="G141" s="52"/>
      <c r="H141" s="52"/>
      <c r="I141" s="130">
        <v>0.7</v>
      </c>
      <c r="K141" s="90"/>
    </row>
    <row r="142" spans="2:12" x14ac:dyDescent="0.2">
      <c r="B142" s="88"/>
      <c r="K142" s="90"/>
      <c r="L142" s="40"/>
    </row>
    <row r="143" spans="2:12" x14ac:dyDescent="0.2">
      <c r="B143" s="88"/>
      <c r="K143" s="90"/>
    </row>
    <row r="144" spans="2:12" ht="24" x14ac:dyDescent="0.3">
      <c r="B144" s="46"/>
      <c r="C144" s="106" t="s">
        <v>218</v>
      </c>
      <c r="D144" s="52"/>
      <c r="E144" s="52"/>
      <c r="F144" s="52"/>
      <c r="G144" s="52"/>
      <c r="H144" s="52"/>
      <c r="I144" s="52"/>
      <c r="K144" s="90"/>
    </row>
    <row r="145" spans="2:11" ht="16" x14ac:dyDescent="0.2">
      <c r="B145" s="100" t="s">
        <v>203</v>
      </c>
      <c r="C145" s="52"/>
      <c r="D145" s="52"/>
      <c r="E145" s="52"/>
      <c r="F145" s="52"/>
      <c r="G145" s="107"/>
      <c r="H145" s="107"/>
      <c r="I145" s="57"/>
      <c r="K145" s="90"/>
    </row>
    <row r="146" spans="2:11" ht="16" x14ac:dyDescent="0.2">
      <c r="B146" s="100"/>
      <c r="C146" s="61" t="s">
        <v>204</v>
      </c>
      <c r="D146" s="52"/>
      <c r="E146" s="52"/>
      <c r="F146" s="52"/>
      <c r="G146" s="62">
        <f>(I62*I97*(1-I99))</f>
        <v>33547500</v>
      </c>
      <c r="H146" s="107"/>
      <c r="I146" s="57"/>
      <c r="K146" s="90"/>
    </row>
    <row r="147" spans="2:11" x14ac:dyDescent="0.2">
      <c r="B147" s="46"/>
      <c r="C147" s="97" t="s">
        <v>208</v>
      </c>
      <c r="D147" s="52"/>
      <c r="E147" s="52"/>
      <c r="F147" s="52"/>
      <c r="G147" s="52"/>
      <c r="H147" s="55">
        <f>(I62*I97*(1-I99))*(1-I133)</f>
        <v>8386875</v>
      </c>
      <c r="I147" s="57"/>
      <c r="K147" s="90"/>
    </row>
    <row r="148" spans="2:11" x14ac:dyDescent="0.2">
      <c r="B148" s="46"/>
      <c r="C148" s="97" t="s">
        <v>207</v>
      </c>
      <c r="D148" s="52"/>
      <c r="E148" s="52"/>
      <c r="F148" s="52"/>
      <c r="G148" s="52"/>
      <c r="H148" s="55">
        <f>(I62*I97*(1-I99))*(I133)</f>
        <v>25160625</v>
      </c>
      <c r="I148" s="57"/>
      <c r="K148" s="108"/>
    </row>
    <row r="149" spans="2:11" x14ac:dyDescent="0.2">
      <c r="B149" s="46"/>
      <c r="C149" s="97"/>
      <c r="D149" s="52"/>
      <c r="E149" s="52"/>
      <c r="F149" s="52" t="s">
        <v>209</v>
      </c>
      <c r="G149" s="52"/>
      <c r="H149" s="60">
        <f>SUM(H147:H148)</f>
        <v>33547500</v>
      </c>
      <c r="I149" s="55"/>
      <c r="K149" s="108"/>
    </row>
    <row r="150" spans="2:11" x14ac:dyDescent="0.2">
      <c r="B150" s="46"/>
      <c r="C150" s="97"/>
      <c r="D150" s="52"/>
      <c r="E150" s="52"/>
      <c r="F150" s="52"/>
      <c r="G150" s="52"/>
      <c r="H150" s="55"/>
      <c r="I150" s="55"/>
      <c r="K150" s="108"/>
    </row>
    <row r="151" spans="2:11" ht="16" thickBot="1" x14ac:dyDescent="0.25">
      <c r="B151" s="46"/>
      <c r="C151" s="52"/>
      <c r="D151" s="52"/>
      <c r="E151" s="52"/>
      <c r="F151" s="52"/>
      <c r="G151" s="59" t="s">
        <v>205</v>
      </c>
      <c r="H151" s="55"/>
      <c r="I151" s="41">
        <f>-CEILING(PMT($I$134/12,($I$135*12),(H147*$I$133))*12,1)</f>
        <v>838003</v>
      </c>
      <c r="K151" s="90"/>
    </row>
    <row r="152" spans="2:11" x14ac:dyDescent="0.2">
      <c r="B152" s="46"/>
      <c r="C152" s="52"/>
      <c r="D152" s="52"/>
      <c r="E152" s="52"/>
      <c r="F152" s="52"/>
      <c r="G152" s="52"/>
      <c r="H152" s="52"/>
      <c r="I152" s="55"/>
      <c r="K152" s="90"/>
    </row>
    <row r="153" spans="2:11" x14ac:dyDescent="0.2">
      <c r="B153" s="46"/>
      <c r="C153" s="52"/>
      <c r="D153" s="52"/>
      <c r="E153" s="52"/>
      <c r="F153" s="52"/>
      <c r="G153" s="52"/>
      <c r="H153" s="52"/>
      <c r="I153" s="55"/>
      <c r="K153" s="90"/>
    </row>
    <row r="154" spans="2:11" ht="16" x14ac:dyDescent="0.2">
      <c r="B154" s="100" t="s">
        <v>206</v>
      </c>
      <c r="C154" s="52"/>
      <c r="D154" s="52"/>
      <c r="E154" s="52"/>
      <c r="F154" s="56" t="s">
        <v>110</v>
      </c>
      <c r="G154" s="56" t="s">
        <v>140</v>
      </c>
      <c r="H154" s="57"/>
      <c r="I154" s="52"/>
      <c r="K154" s="90"/>
    </row>
    <row r="155" spans="2:11" x14ac:dyDescent="0.2">
      <c r="B155" s="46"/>
      <c r="C155" s="61" t="s">
        <v>142</v>
      </c>
      <c r="D155" s="52" t="s">
        <v>160</v>
      </c>
      <c r="E155" s="58">
        <f>I141*I97</f>
        <v>18.899999999999999</v>
      </c>
      <c r="F155" s="143">
        <v>7000</v>
      </c>
      <c r="G155" s="55">
        <f>E155*F155</f>
        <v>132300</v>
      </c>
      <c r="H155" s="57"/>
      <c r="I155" s="52"/>
      <c r="K155" s="90"/>
    </row>
    <row r="156" spans="2:11" x14ac:dyDescent="0.2">
      <c r="B156" s="46"/>
      <c r="C156" s="61" t="s">
        <v>143</v>
      </c>
      <c r="D156" s="52" t="s">
        <v>149</v>
      </c>
      <c r="E156" s="55">
        <f>I60*I97</f>
        <v>544536</v>
      </c>
      <c r="F156" s="143">
        <v>18</v>
      </c>
      <c r="G156" s="55">
        <f>E156*F156</f>
        <v>9801648</v>
      </c>
      <c r="H156" s="57"/>
      <c r="I156" s="52"/>
      <c r="K156" s="90"/>
    </row>
    <row r="157" spans="2:11" x14ac:dyDescent="0.2">
      <c r="B157" s="46"/>
      <c r="C157" s="52"/>
      <c r="D157" s="52"/>
      <c r="E157" s="55"/>
      <c r="F157" s="52"/>
      <c r="G157" s="62">
        <f>SUM(G155:G156)</f>
        <v>9933948</v>
      </c>
      <c r="H157" s="57"/>
      <c r="I157" s="52"/>
      <c r="K157" s="90"/>
    </row>
    <row r="158" spans="2:11" x14ac:dyDescent="0.2">
      <c r="B158" s="46"/>
      <c r="C158" s="97" t="s">
        <v>208</v>
      </c>
      <c r="D158" s="52"/>
      <c r="E158" s="52"/>
      <c r="F158" s="52"/>
      <c r="G158" s="52"/>
      <c r="H158" s="55">
        <f>(G157*(1-I137))</f>
        <v>2483487</v>
      </c>
      <c r="I158" s="52"/>
      <c r="K158" s="90"/>
    </row>
    <row r="159" spans="2:11" x14ac:dyDescent="0.2">
      <c r="B159" s="46"/>
      <c r="C159" s="97" t="s">
        <v>207</v>
      </c>
      <c r="D159" s="52"/>
      <c r="E159" s="52"/>
      <c r="F159" s="52"/>
      <c r="G159" s="52"/>
      <c r="H159" s="55">
        <f>(G157*(I137))</f>
        <v>7450461</v>
      </c>
      <c r="I159" s="52"/>
      <c r="K159" s="90"/>
    </row>
    <row r="160" spans="2:11" x14ac:dyDescent="0.2">
      <c r="B160" s="46"/>
      <c r="C160" s="97"/>
      <c r="D160" s="52"/>
      <c r="E160" s="52"/>
      <c r="F160" s="52" t="s">
        <v>210</v>
      </c>
      <c r="G160" s="52"/>
      <c r="H160" s="60">
        <f>SUM(H158:H159)</f>
        <v>9933948</v>
      </c>
      <c r="I160" s="52"/>
      <c r="K160" s="90"/>
    </row>
    <row r="161" spans="2:11" x14ac:dyDescent="0.2">
      <c r="B161" s="46"/>
      <c r="C161" s="52"/>
      <c r="D161" s="52"/>
      <c r="E161" s="52"/>
      <c r="F161" s="52"/>
      <c r="G161" s="55"/>
      <c r="H161" s="55"/>
      <c r="I161" s="52"/>
      <c r="K161" s="90"/>
    </row>
    <row r="162" spans="2:11" ht="16" thickBot="1" x14ac:dyDescent="0.25">
      <c r="B162" s="46"/>
      <c r="C162" s="52"/>
      <c r="D162" s="52"/>
      <c r="E162" s="52"/>
      <c r="F162" s="59"/>
      <c r="G162" s="59" t="s">
        <v>205</v>
      </c>
      <c r="H162" s="55"/>
      <c r="I162" s="41">
        <f>-CEILING(PMT($I$138/12,($I$139*12),(G157*$I$133))*12,1)</f>
        <v>590036</v>
      </c>
      <c r="K162" s="109"/>
    </row>
    <row r="163" spans="2:11" x14ac:dyDescent="0.2">
      <c r="B163" s="46"/>
      <c r="C163" s="52"/>
      <c r="D163" s="52"/>
      <c r="E163" s="52"/>
      <c r="F163" s="52"/>
      <c r="G163" s="52"/>
      <c r="H163" s="52"/>
      <c r="I163" s="52"/>
      <c r="K163" s="90"/>
    </row>
    <row r="164" spans="2:11" x14ac:dyDescent="0.2">
      <c r="B164" s="46"/>
      <c r="C164" s="52"/>
      <c r="D164" s="52"/>
      <c r="E164" s="52"/>
      <c r="F164" s="52"/>
      <c r="G164" s="52"/>
      <c r="H164" s="52"/>
      <c r="I164" s="52"/>
      <c r="K164" s="90"/>
    </row>
    <row r="165" spans="2:11" ht="16" x14ac:dyDescent="0.2">
      <c r="B165" s="100" t="s">
        <v>213</v>
      </c>
      <c r="C165" s="52"/>
      <c r="D165" s="52"/>
      <c r="E165" s="52"/>
      <c r="F165" s="52"/>
      <c r="G165" s="52"/>
      <c r="H165" s="52"/>
      <c r="I165" s="52"/>
      <c r="K165" s="90"/>
    </row>
    <row r="166" spans="2:11" x14ac:dyDescent="0.2">
      <c r="B166" s="46"/>
      <c r="C166" s="52" t="s">
        <v>214</v>
      </c>
      <c r="D166" s="52"/>
      <c r="E166" s="52"/>
      <c r="F166" s="52"/>
      <c r="G166" s="52"/>
      <c r="H166" s="52"/>
      <c r="I166" s="53">
        <f>I124</f>
        <v>4047165</v>
      </c>
      <c r="K166" s="90"/>
    </row>
    <row r="167" spans="2:11" x14ac:dyDescent="0.2">
      <c r="B167" s="46"/>
      <c r="C167" s="52" t="s">
        <v>215</v>
      </c>
      <c r="D167" s="52"/>
      <c r="E167" s="52"/>
      <c r="F167" s="52"/>
      <c r="G167" s="52"/>
      <c r="H167" s="52"/>
      <c r="I167" s="52"/>
      <c r="K167" s="90"/>
    </row>
    <row r="168" spans="2:11" x14ac:dyDescent="0.2">
      <c r="B168" s="46"/>
      <c r="C168" s="97" t="s">
        <v>216</v>
      </c>
      <c r="D168" s="52"/>
      <c r="E168" s="52"/>
      <c r="F168" s="52"/>
      <c r="G168" s="52"/>
      <c r="H168" s="52"/>
      <c r="I168" s="53">
        <f>I151</f>
        <v>838003</v>
      </c>
      <c r="K168" s="90"/>
    </row>
    <row r="169" spans="2:11" x14ac:dyDescent="0.2">
      <c r="B169" s="46"/>
      <c r="C169" s="97" t="s">
        <v>217</v>
      </c>
      <c r="D169" s="52"/>
      <c r="E169" s="52"/>
      <c r="F169" s="52"/>
      <c r="G169" s="52"/>
      <c r="H169" s="52"/>
      <c r="I169" s="53">
        <f>I162</f>
        <v>590036</v>
      </c>
      <c r="K169" s="90"/>
    </row>
    <row r="170" spans="2:11" x14ac:dyDescent="0.2">
      <c r="B170" s="46"/>
      <c r="C170" s="97"/>
      <c r="D170" s="52"/>
      <c r="E170" s="52"/>
      <c r="F170" s="52"/>
      <c r="G170" s="52"/>
      <c r="H170" s="52"/>
      <c r="I170" s="66">
        <f>SUM(I168:I169)</f>
        <v>1428039</v>
      </c>
      <c r="K170" s="90"/>
    </row>
    <row r="171" spans="2:11" x14ac:dyDescent="0.2">
      <c r="B171" s="46"/>
      <c r="C171" s="97"/>
      <c r="D171" s="52"/>
      <c r="E171" s="52"/>
      <c r="F171" s="52"/>
      <c r="G171" s="52"/>
      <c r="H171" s="52"/>
      <c r="I171" s="53"/>
      <c r="K171" s="90"/>
    </row>
    <row r="172" spans="2:11" ht="20" thickBot="1" x14ac:dyDescent="0.3">
      <c r="B172" s="46"/>
      <c r="C172" s="119" t="s">
        <v>222</v>
      </c>
      <c r="D172" s="52"/>
      <c r="E172" s="52"/>
      <c r="F172" s="52"/>
      <c r="G172" s="52"/>
      <c r="H172" s="52"/>
      <c r="I172" s="42">
        <f>I166-I170</f>
        <v>2619126</v>
      </c>
      <c r="K172" s="90"/>
    </row>
    <row r="173" spans="2:11" ht="16" thickTop="1" x14ac:dyDescent="0.2">
      <c r="B173" s="88"/>
      <c r="K173" s="90"/>
    </row>
    <row r="174" spans="2:11" ht="19" x14ac:dyDescent="0.25">
      <c r="B174" s="110" t="s">
        <v>219</v>
      </c>
      <c r="C174" s="52"/>
      <c r="D174" s="52"/>
      <c r="E174" s="52"/>
      <c r="F174" s="52"/>
      <c r="G174" s="52"/>
      <c r="H174" s="52"/>
      <c r="I174" s="111"/>
      <c r="K174" s="90"/>
    </row>
    <row r="175" spans="2:11" x14ac:dyDescent="0.2">
      <c r="B175" s="46"/>
      <c r="C175" s="52" t="s">
        <v>169</v>
      </c>
      <c r="D175" s="52"/>
      <c r="E175" s="53"/>
      <c r="F175" s="53"/>
      <c r="G175" s="53"/>
      <c r="H175" s="53"/>
      <c r="I175" s="53">
        <f>H147</f>
        <v>8386875</v>
      </c>
      <c r="K175" s="90"/>
    </row>
    <row r="176" spans="2:11" x14ac:dyDescent="0.2">
      <c r="B176" s="46"/>
      <c r="C176" s="52" t="s">
        <v>170</v>
      </c>
      <c r="D176" s="52"/>
      <c r="E176" s="64"/>
      <c r="F176" s="64"/>
      <c r="G176" s="64"/>
      <c r="H176" s="64"/>
      <c r="I176" s="64">
        <f>H158</f>
        <v>2483487</v>
      </c>
      <c r="K176" s="90"/>
    </row>
    <row r="177" spans="2:11" ht="16" thickBot="1" x14ac:dyDescent="0.25">
      <c r="B177" s="46"/>
      <c r="C177" s="97" t="s">
        <v>49</v>
      </c>
      <c r="D177" s="52"/>
      <c r="E177" s="65"/>
      <c r="F177" s="65"/>
      <c r="G177" s="65"/>
      <c r="H177" s="65"/>
      <c r="I177" s="63">
        <f>SUM(I175:I176)</f>
        <v>10870362</v>
      </c>
      <c r="K177" s="90"/>
    </row>
    <row r="178" spans="2:11" ht="17" thickTop="1" thickBot="1" x14ac:dyDescent="0.25">
      <c r="B178" s="112"/>
      <c r="C178" s="113"/>
      <c r="D178" s="113"/>
      <c r="E178" s="113"/>
      <c r="F178" s="113"/>
      <c r="G178" s="113"/>
      <c r="H178" s="113"/>
      <c r="I178" s="113"/>
      <c r="J178" s="113"/>
      <c r="K178" s="114"/>
    </row>
  </sheetData>
  <mergeCells count="5">
    <mergeCell ref="E13:F13"/>
    <mergeCell ref="G13:H13"/>
    <mergeCell ref="F118:H118"/>
    <mergeCell ref="B1:K1"/>
    <mergeCell ref="B2:K2"/>
  </mergeCells>
  <pageMargins left="0.28999999999999998" right="0.13" top="0.75" bottom="0.67" header="0.25" footer="0.18"/>
  <pageSetup scale="90" orientation="landscape" r:id="rId1"/>
  <headerFooter>
    <oddHeader>&amp;L&amp;F&amp;C&amp;A&amp;R&amp;D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3"/>
  <sheetViews>
    <sheetView topLeftCell="D1" workbookViewId="0">
      <selection activeCell="L31" sqref="L31"/>
    </sheetView>
  </sheetViews>
  <sheetFormatPr baseColWidth="10" defaultColWidth="8.83203125" defaultRowHeight="15" x14ac:dyDescent="0.2"/>
  <cols>
    <col min="1" max="1" width="7.5" customWidth="1"/>
    <col min="3" max="3" width="8.6640625" bestFit="1" customWidth="1"/>
    <col min="4" max="4" width="12.33203125" customWidth="1"/>
    <col min="5" max="5" width="59" bestFit="1" customWidth="1"/>
    <col min="6" max="6" width="12.5" style="35" customWidth="1"/>
    <col min="7" max="7" width="18.1640625" bestFit="1" customWidth="1"/>
    <col min="8" max="8" width="10.1640625" bestFit="1" customWidth="1"/>
    <col min="9" max="9" width="10.5" bestFit="1" customWidth="1"/>
    <col min="10" max="10" width="10.5" customWidth="1"/>
    <col min="11" max="11" width="12.1640625" customWidth="1"/>
    <col min="12" max="12" width="14.33203125" customWidth="1"/>
  </cols>
  <sheetData>
    <row r="1" spans="1:12" x14ac:dyDescent="0.2">
      <c r="A1" s="27" t="s">
        <v>116</v>
      </c>
      <c r="B1" s="27" t="s">
        <v>117</v>
      </c>
      <c r="C1" s="27" t="s">
        <v>118</v>
      </c>
      <c r="D1" s="28" t="s">
        <v>105</v>
      </c>
      <c r="E1" s="29" t="s">
        <v>119</v>
      </c>
      <c r="F1" s="29" t="s">
        <v>120</v>
      </c>
      <c r="G1" s="29" t="s">
        <v>121</v>
      </c>
      <c r="H1" s="29" t="s">
        <v>122</v>
      </c>
      <c r="I1" s="30" t="s">
        <v>123</v>
      </c>
      <c r="J1" s="30" t="s">
        <v>124</v>
      </c>
      <c r="K1" s="36" t="s">
        <v>125</v>
      </c>
      <c r="L1" s="36" t="s">
        <v>126</v>
      </c>
    </row>
    <row r="2" spans="1:12" x14ac:dyDescent="0.2">
      <c r="A2" s="9" t="s">
        <v>61</v>
      </c>
      <c r="B2" s="9" t="s">
        <v>62</v>
      </c>
      <c r="C2" s="10">
        <v>1</v>
      </c>
      <c r="D2" s="11" t="s">
        <v>63</v>
      </c>
      <c r="E2" s="12" t="s">
        <v>64</v>
      </c>
      <c r="F2" s="13">
        <v>1</v>
      </c>
      <c r="G2" s="14" t="s">
        <v>65</v>
      </c>
      <c r="H2" s="15">
        <v>5739.17</v>
      </c>
      <c r="I2" s="16">
        <f>H2*C2/F2</f>
        <v>5739.17</v>
      </c>
      <c r="J2" s="31"/>
      <c r="K2">
        <f>H2*C2/F2</f>
        <v>5739.17</v>
      </c>
      <c r="L2">
        <f>C2*4/F2*H2</f>
        <v>22956.68</v>
      </c>
    </row>
    <row r="3" spans="1:12" x14ac:dyDescent="0.2">
      <c r="A3" s="9" t="s">
        <v>61</v>
      </c>
      <c r="B3" s="9" t="s">
        <v>62</v>
      </c>
      <c r="C3" s="10">
        <v>1</v>
      </c>
      <c r="D3" s="11" t="s">
        <v>66</v>
      </c>
      <c r="E3" s="17" t="s">
        <v>67</v>
      </c>
      <c r="F3" s="13">
        <v>1</v>
      </c>
      <c r="G3" s="14" t="s">
        <v>68</v>
      </c>
      <c r="H3" s="18">
        <v>3810</v>
      </c>
      <c r="I3" s="19">
        <f t="shared" ref="I3:I26" si="0">H3*C3/F3</f>
        <v>3810</v>
      </c>
      <c r="J3" s="33"/>
      <c r="K3">
        <f t="shared" ref="K3:K26" si="1">H3*C3/F3</f>
        <v>3810</v>
      </c>
      <c r="L3">
        <f t="shared" ref="L3:L26" si="2">C3*4/F3*H3</f>
        <v>15240</v>
      </c>
    </row>
    <row r="4" spans="1:12" x14ac:dyDescent="0.2">
      <c r="A4" s="9" t="s">
        <v>61</v>
      </c>
      <c r="B4" s="9" t="s">
        <v>62</v>
      </c>
      <c r="C4" s="10">
        <v>24</v>
      </c>
      <c r="D4" s="11" t="s">
        <v>66</v>
      </c>
      <c r="E4" s="17" t="s">
        <v>69</v>
      </c>
      <c r="F4" s="13">
        <v>1</v>
      </c>
      <c r="G4" s="14" t="s">
        <v>70</v>
      </c>
      <c r="H4" s="18">
        <v>10.69</v>
      </c>
      <c r="I4" s="19">
        <f t="shared" si="0"/>
        <v>256.56</v>
      </c>
      <c r="J4" s="33"/>
      <c r="K4">
        <f t="shared" si="1"/>
        <v>256.56</v>
      </c>
      <c r="L4">
        <f t="shared" si="2"/>
        <v>1026.24</v>
      </c>
    </row>
    <row r="5" spans="1:12" x14ac:dyDescent="0.2">
      <c r="A5" s="9" t="s">
        <v>61</v>
      </c>
      <c r="B5" s="9" t="s">
        <v>62</v>
      </c>
      <c r="C5" s="10">
        <v>168</v>
      </c>
      <c r="D5" s="11" t="s">
        <v>66</v>
      </c>
      <c r="E5" s="17" t="s">
        <v>71</v>
      </c>
      <c r="F5" s="13">
        <v>1</v>
      </c>
      <c r="G5" s="14" t="s">
        <v>72</v>
      </c>
      <c r="H5" s="18">
        <v>21.28</v>
      </c>
      <c r="I5" s="19">
        <f t="shared" si="0"/>
        <v>3575.04</v>
      </c>
      <c r="J5" s="33"/>
      <c r="K5">
        <f t="shared" si="1"/>
        <v>3575.04</v>
      </c>
      <c r="L5">
        <f t="shared" si="2"/>
        <v>14300.16</v>
      </c>
    </row>
    <row r="6" spans="1:12" x14ac:dyDescent="0.2">
      <c r="A6" s="9" t="s">
        <v>61</v>
      </c>
      <c r="B6" s="9" t="s">
        <v>62</v>
      </c>
      <c r="C6" s="10">
        <v>1</v>
      </c>
      <c r="D6" s="11" t="s">
        <v>73</v>
      </c>
      <c r="E6" s="17" t="s">
        <v>74</v>
      </c>
      <c r="F6" s="13">
        <v>1</v>
      </c>
      <c r="G6" s="14" t="s">
        <v>75</v>
      </c>
      <c r="H6" s="18">
        <v>5496</v>
      </c>
      <c r="I6" s="19">
        <f t="shared" si="0"/>
        <v>5496</v>
      </c>
      <c r="J6" s="33"/>
      <c r="K6">
        <f t="shared" si="1"/>
        <v>5496</v>
      </c>
      <c r="L6">
        <f t="shared" si="2"/>
        <v>21984</v>
      </c>
    </row>
    <row r="7" spans="1:12" x14ac:dyDescent="0.2">
      <c r="A7" s="9" t="s">
        <v>61</v>
      </c>
      <c r="B7" s="9" t="s">
        <v>62</v>
      </c>
      <c r="C7" s="10">
        <v>4</v>
      </c>
      <c r="D7" s="11" t="s">
        <v>59</v>
      </c>
      <c r="E7" s="17" t="s">
        <v>76</v>
      </c>
      <c r="F7" s="13">
        <v>1</v>
      </c>
      <c r="G7" s="14" t="s">
        <v>77</v>
      </c>
      <c r="H7" s="18">
        <v>3000</v>
      </c>
      <c r="I7" s="19">
        <f t="shared" si="0"/>
        <v>12000</v>
      </c>
      <c r="J7" s="33"/>
      <c r="K7">
        <f t="shared" si="1"/>
        <v>12000</v>
      </c>
      <c r="L7">
        <f t="shared" si="2"/>
        <v>48000</v>
      </c>
    </row>
    <row r="8" spans="1:12" x14ac:dyDescent="0.2">
      <c r="A8" s="9" t="s">
        <v>61</v>
      </c>
      <c r="B8" s="9" t="s">
        <v>62</v>
      </c>
      <c r="C8" s="10">
        <v>4</v>
      </c>
      <c r="D8" s="11" t="s">
        <v>60</v>
      </c>
      <c r="E8" s="17" t="s">
        <v>78</v>
      </c>
      <c r="F8" s="13">
        <v>1</v>
      </c>
      <c r="G8" s="14" t="s">
        <v>79</v>
      </c>
      <c r="H8" s="18">
        <v>100</v>
      </c>
      <c r="I8" s="19">
        <f t="shared" si="0"/>
        <v>400</v>
      </c>
      <c r="J8" s="33"/>
      <c r="K8">
        <f t="shared" si="1"/>
        <v>400</v>
      </c>
      <c r="L8">
        <f t="shared" si="2"/>
        <v>1600</v>
      </c>
    </row>
    <row r="9" spans="1:12" x14ac:dyDescent="0.2">
      <c r="A9" s="9" t="s">
        <v>61</v>
      </c>
      <c r="B9" s="9" t="s">
        <v>62</v>
      </c>
      <c r="C9" s="10">
        <v>4</v>
      </c>
      <c r="D9" s="11" t="s">
        <v>66</v>
      </c>
      <c r="E9" s="17" t="s">
        <v>80</v>
      </c>
      <c r="F9" s="13">
        <v>1</v>
      </c>
      <c r="G9" s="14" t="s">
        <v>70</v>
      </c>
      <c r="H9" s="18">
        <v>1061</v>
      </c>
      <c r="I9" s="19">
        <f t="shared" si="0"/>
        <v>4244</v>
      </c>
      <c r="J9" s="33"/>
      <c r="K9">
        <f t="shared" si="1"/>
        <v>4244</v>
      </c>
      <c r="L9">
        <f t="shared" si="2"/>
        <v>16976</v>
      </c>
    </row>
    <row r="10" spans="1:12" x14ac:dyDescent="0.2">
      <c r="A10" s="9" t="s">
        <v>61</v>
      </c>
      <c r="B10" s="9" t="s">
        <v>62</v>
      </c>
      <c r="C10" s="10">
        <v>1</v>
      </c>
      <c r="D10" s="11" t="s">
        <v>66</v>
      </c>
      <c r="E10" s="17" t="s">
        <v>81</v>
      </c>
      <c r="F10" s="13">
        <v>1</v>
      </c>
      <c r="G10" s="14" t="s">
        <v>82</v>
      </c>
      <c r="H10" s="18">
        <v>200</v>
      </c>
      <c r="I10" s="19">
        <f t="shared" si="0"/>
        <v>200</v>
      </c>
      <c r="J10" s="33"/>
      <c r="K10">
        <f t="shared" si="1"/>
        <v>200</v>
      </c>
      <c r="L10">
        <f t="shared" si="2"/>
        <v>800</v>
      </c>
    </row>
    <row r="11" spans="1:12" x14ac:dyDescent="0.2">
      <c r="A11" s="9" t="s">
        <v>61</v>
      </c>
      <c r="B11" s="9" t="s">
        <v>62</v>
      </c>
      <c r="C11" s="10">
        <v>1</v>
      </c>
      <c r="D11" s="11" t="s">
        <v>66</v>
      </c>
      <c r="E11" s="17" t="s">
        <v>83</v>
      </c>
      <c r="F11" s="13">
        <v>1</v>
      </c>
      <c r="G11" s="14" t="s">
        <v>72</v>
      </c>
      <c r="H11" s="18">
        <v>17240.61</v>
      </c>
      <c r="I11" s="19">
        <f t="shared" si="0"/>
        <v>17240.61</v>
      </c>
      <c r="J11" s="33"/>
      <c r="K11">
        <f t="shared" si="1"/>
        <v>17240.61</v>
      </c>
      <c r="L11">
        <f t="shared" si="2"/>
        <v>68962.44</v>
      </c>
    </row>
    <row r="12" spans="1:12" x14ac:dyDescent="0.2">
      <c r="A12" s="9" t="s">
        <v>61</v>
      </c>
      <c r="B12" s="9" t="s">
        <v>62</v>
      </c>
      <c r="C12" s="10">
        <v>1</v>
      </c>
      <c r="D12" s="11" t="s">
        <v>66</v>
      </c>
      <c r="E12" s="17" t="s">
        <v>84</v>
      </c>
      <c r="F12" s="13">
        <v>1</v>
      </c>
      <c r="G12" s="14" t="s">
        <v>85</v>
      </c>
      <c r="H12" s="18">
        <v>3075</v>
      </c>
      <c r="I12" s="19">
        <f t="shared" si="0"/>
        <v>3075</v>
      </c>
      <c r="J12" s="33"/>
      <c r="K12">
        <f t="shared" si="1"/>
        <v>3075</v>
      </c>
      <c r="L12">
        <f t="shared" si="2"/>
        <v>12300</v>
      </c>
    </row>
    <row r="13" spans="1:12" x14ac:dyDescent="0.2">
      <c r="A13" s="9" t="s">
        <v>61</v>
      </c>
      <c r="B13" s="9" t="s">
        <v>62</v>
      </c>
      <c r="C13" s="10">
        <v>1</v>
      </c>
      <c r="D13" s="20" t="s">
        <v>63</v>
      </c>
      <c r="E13" s="17" t="s">
        <v>86</v>
      </c>
      <c r="F13" s="13">
        <v>1</v>
      </c>
      <c r="G13" s="14" t="s">
        <v>70</v>
      </c>
      <c r="H13" s="18">
        <v>459</v>
      </c>
      <c r="I13" s="19">
        <f t="shared" si="0"/>
        <v>459</v>
      </c>
      <c r="J13" s="33"/>
      <c r="K13">
        <f t="shared" si="1"/>
        <v>459</v>
      </c>
      <c r="L13">
        <f t="shared" si="2"/>
        <v>1836</v>
      </c>
    </row>
    <row r="14" spans="1:12" x14ac:dyDescent="0.2">
      <c r="A14" s="9" t="s">
        <v>61</v>
      </c>
      <c r="B14" s="9" t="s">
        <v>62</v>
      </c>
      <c r="C14" s="10">
        <v>1</v>
      </c>
      <c r="D14" s="11" t="s">
        <v>73</v>
      </c>
      <c r="E14" s="17" t="s">
        <v>87</v>
      </c>
      <c r="F14" s="13">
        <v>1</v>
      </c>
      <c r="G14" s="14" t="s">
        <v>70</v>
      </c>
      <c r="H14" s="18">
        <v>948</v>
      </c>
      <c r="I14" s="19">
        <f t="shared" si="0"/>
        <v>948</v>
      </c>
      <c r="J14" s="33"/>
      <c r="K14">
        <f t="shared" si="1"/>
        <v>948</v>
      </c>
      <c r="L14">
        <f t="shared" si="2"/>
        <v>3792</v>
      </c>
    </row>
    <row r="15" spans="1:12" x14ac:dyDescent="0.2">
      <c r="A15" s="9" t="s">
        <v>61</v>
      </c>
      <c r="B15" s="9" t="s">
        <v>62</v>
      </c>
      <c r="C15" s="10">
        <v>1</v>
      </c>
      <c r="D15" s="11" t="s">
        <v>88</v>
      </c>
      <c r="E15" s="17" t="s">
        <v>89</v>
      </c>
      <c r="F15" s="13">
        <v>1</v>
      </c>
      <c r="G15" s="14" t="s">
        <v>70</v>
      </c>
      <c r="H15" s="18">
        <v>103.64</v>
      </c>
      <c r="I15" s="19">
        <f t="shared" si="0"/>
        <v>103.64</v>
      </c>
      <c r="J15" s="33"/>
      <c r="K15">
        <f t="shared" si="1"/>
        <v>103.64</v>
      </c>
      <c r="L15">
        <f t="shared" si="2"/>
        <v>414.56</v>
      </c>
    </row>
    <row r="16" spans="1:12" x14ac:dyDescent="0.2">
      <c r="A16" s="9" t="s">
        <v>61</v>
      </c>
      <c r="B16" s="9" t="s">
        <v>62</v>
      </c>
      <c r="C16" s="10">
        <v>2</v>
      </c>
      <c r="D16" s="11" t="s">
        <v>90</v>
      </c>
      <c r="E16" s="17" t="s">
        <v>91</v>
      </c>
      <c r="F16" s="13">
        <v>1</v>
      </c>
      <c r="G16" s="14" t="s">
        <v>70</v>
      </c>
      <c r="H16" s="18">
        <v>115.97</v>
      </c>
      <c r="I16" s="19">
        <f t="shared" si="0"/>
        <v>231.94</v>
      </c>
      <c r="J16" s="33"/>
      <c r="K16">
        <f t="shared" si="1"/>
        <v>231.94</v>
      </c>
      <c r="L16">
        <f t="shared" si="2"/>
        <v>927.76</v>
      </c>
    </row>
    <row r="17" spans="1:12" x14ac:dyDescent="0.2">
      <c r="A17" s="9" t="s">
        <v>61</v>
      </c>
      <c r="B17" s="9" t="s">
        <v>62</v>
      </c>
      <c r="C17" s="10">
        <v>1</v>
      </c>
      <c r="D17" s="11" t="s">
        <v>90</v>
      </c>
      <c r="E17" s="17" t="s">
        <v>92</v>
      </c>
      <c r="F17" s="13">
        <v>1</v>
      </c>
      <c r="G17" s="14" t="s">
        <v>70</v>
      </c>
      <c r="H17" s="18">
        <v>62.85</v>
      </c>
      <c r="I17" s="19">
        <f t="shared" si="0"/>
        <v>62.85</v>
      </c>
      <c r="J17" s="33"/>
      <c r="K17">
        <f t="shared" si="1"/>
        <v>62.85</v>
      </c>
      <c r="L17">
        <f t="shared" si="2"/>
        <v>251.4</v>
      </c>
    </row>
    <row r="18" spans="1:12" x14ac:dyDescent="0.2">
      <c r="A18" s="9" t="s">
        <v>61</v>
      </c>
      <c r="B18" s="9" t="s">
        <v>62</v>
      </c>
      <c r="C18" s="10">
        <v>1</v>
      </c>
      <c r="D18" s="11" t="s">
        <v>88</v>
      </c>
      <c r="E18" s="17" t="s">
        <v>93</v>
      </c>
      <c r="F18" s="13">
        <v>1</v>
      </c>
      <c r="G18" s="14" t="s">
        <v>70</v>
      </c>
      <c r="H18" s="18">
        <v>263</v>
      </c>
      <c r="I18" s="19">
        <f t="shared" si="0"/>
        <v>263</v>
      </c>
      <c r="J18" s="33"/>
      <c r="K18">
        <f t="shared" si="1"/>
        <v>263</v>
      </c>
      <c r="L18">
        <f t="shared" si="2"/>
        <v>1052</v>
      </c>
    </row>
    <row r="19" spans="1:12" x14ac:dyDescent="0.2">
      <c r="A19" s="9" t="s">
        <v>61</v>
      </c>
      <c r="B19" s="9" t="s">
        <v>62</v>
      </c>
      <c r="C19" s="10">
        <v>1</v>
      </c>
      <c r="D19" s="11" t="s">
        <v>90</v>
      </c>
      <c r="E19" s="17" t="s">
        <v>94</v>
      </c>
      <c r="F19" s="13">
        <v>1</v>
      </c>
      <c r="G19" s="14" t="s">
        <v>95</v>
      </c>
      <c r="H19" s="18">
        <v>948.54</v>
      </c>
      <c r="I19" s="19">
        <f t="shared" si="0"/>
        <v>948.54</v>
      </c>
      <c r="J19" s="33"/>
      <c r="K19">
        <f t="shared" si="1"/>
        <v>948.54</v>
      </c>
      <c r="L19">
        <f t="shared" si="2"/>
        <v>3794.16</v>
      </c>
    </row>
    <row r="20" spans="1:12" x14ac:dyDescent="0.2">
      <c r="A20" s="9" t="s">
        <v>61</v>
      </c>
      <c r="B20" s="9" t="s">
        <v>62</v>
      </c>
      <c r="C20" s="10">
        <v>3</v>
      </c>
      <c r="D20" s="11" t="s">
        <v>88</v>
      </c>
      <c r="E20" s="17" t="s">
        <v>96</v>
      </c>
      <c r="F20" s="13">
        <v>1</v>
      </c>
      <c r="G20" s="14" t="s">
        <v>97</v>
      </c>
      <c r="H20" s="18">
        <v>220</v>
      </c>
      <c r="I20" s="19">
        <f t="shared" si="0"/>
        <v>660</v>
      </c>
      <c r="J20" s="33"/>
      <c r="K20">
        <f t="shared" si="1"/>
        <v>660</v>
      </c>
      <c r="L20">
        <f t="shared" si="2"/>
        <v>2640</v>
      </c>
    </row>
    <row r="21" spans="1:12" x14ac:dyDescent="0.2">
      <c r="A21" s="9" t="s">
        <v>61</v>
      </c>
      <c r="B21" s="9" t="s">
        <v>62</v>
      </c>
      <c r="C21" s="10">
        <v>8</v>
      </c>
      <c r="D21" s="11" t="s">
        <v>90</v>
      </c>
      <c r="E21" s="17" t="s">
        <v>98</v>
      </c>
      <c r="F21" s="13">
        <v>1</v>
      </c>
      <c r="G21" s="14" t="s">
        <v>99</v>
      </c>
      <c r="H21" s="18">
        <v>127</v>
      </c>
      <c r="I21" s="19">
        <f t="shared" si="0"/>
        <v>1016</v>
      </c>
      <c r="J21" s="33"/>
      <c r="K21">
        <f t="shared" si="1"/>
        <v>1016</v>
      </c>
      <c r="L21">
        <f t="shared" si="2"/>
        <v>4064</v>
      </c>
    </row>
    <row r="22" spans="1:12" x14ac:dyDescent="0.2">
      <c r="A22" s="9" t="s">
        <v>61</v>
      </c>
      <c r="B22" s="9" t="s">
        <v>62</v>
      </c>
      <c r="C22" s="10">
        <v>2</v>
      </c>
      <c r="D22" s="11" t="s">
        <v>60</v>
      </c>
      <c r="E22" s="17" t="s">
        <v>100</v>
      </c>
      <c r="F22" s="13">
        <v>1</v>
      </c>
      <c r="G22" s="14" t="s">
        <v>70</v>
      </c>
      <c r="H22" s="18">
        <v>251.03</v>
      </c>
      <c r="I22" s="19">
        <f t="shared" si="0"/>
        <v>502.06</v>
      </c>
      <c r="J22" s="33"/>
      <c r="K22">
        <f t="shared" si="1"/>
        <v>502.06</v>
      </c>
      <c r="L22">
        <f t="shared" si="2"/>
        <v>2008.24</v>
      </c>
    </row>
    <row r="23" spans="1:12" x14ac:dyDescent="0.2">
      <c r="A23" s="9" t="s">
        <v>61</v>
      </c>
      <c r="B23" s="9" t="s">
        <v>62</v>
      </c>
      <c r="C23" s="10">
        <v>4</v>
      </c>
      <c r="D23" s="11" t="s">
        <v>60</v>
      </c>
      <c r="E23" s="17" t="s">
        <v>101</v>
      </c>
      <c r="F23" s="13">
        <v>1</v>
      </c>
      <c r="G23" s="14" t="s">
        <v>70</v>
      </c>
      <c r="H23" s="18">
        <v>695</v>
      </c>
      <c r="I23" s="19">
        <f t="shared" si="0"/>
        <v>2780</v>
      </c>
      <c r="J23" s="33"/>
      <c r="K23">
        <f t="shared" si="1"/>
        <v>2780</v>
      </c>
      <c r="L23">
        <f t="shared" si="2"/>
        <v>11120</v>
      </c>
    </row>
    <row r="24" spans="1:12" x14ac:dyDescent="0.2">
      <c r="A24" s="9" t="s">
        <v>61</v>
      </c>
      <c r="B24" s="9" t="s">
        <v>62</v>
      </c>
      <c r="C24" s="10">
        <v>1</v>
      </c>
      <c r="D24" s="11" t="s">
        <v>60</v>
      </c>
      <c r="E24" s="12" t="s">
        <v>60</v>
      </c>
      <c r="F24" s="13">
        <v>1</v>
      </c>
      <c r="G24" s="14" t="s">
        <v>82</v>
      </c>
      <c r="H24" s="15">
        <v>5000</v>
      </c>
      <c r="I24" s="16">
        <f t="shared" si="0"/>
        <v>5000</v>
      </c>
      <c r="J24" s="31"/>
      <c r="K24">
        <f t="shared" si="1"/>
        <v>5000</v>
      </c>
      <c r="L24">
        <f t="shared" si="2"/>
        <v>20000</v>
      </c>
    </row>
    <row r="25" spans="1:12" x14ac:dyDescent="0.2">
      <c r="A25" s="9" t="s">
        <v>61</v>
      </c>
      <c r="B25" s="9" t="s">
        <v>62</v>
      </c>
      <c r="C25" s="10">
        <v>2</v>
      </c>
      <c r="D25" s="11" t="s">
        <v>90</v>
      </c>
      <c r="E25" s="12" t="s">
        <v>102</v>
      </c>
      <c r="F25" s="13">
        <v>4</v>
      </c>
      <c r="G25" s="14" t="s">
        <v>70</v>
      </c>
      <c r="H25" s="15">
        <v>1228</v>
      </c>
      <c r="I25" s="16">
        <f t="shared" si="0"/>
        <v>614</v>
      </c>
      <c r="J25" s="31"/>
      <c r="K25">
        <f t="shared" si="1"/>
        <v>614</v>
      </c>
      <c r="L25">
        <f t="shared" si="2"/>
        <v>2456</v>
      </c>
    </row>
    <row r="26" spans="1:12" x14ac:dyDescent="0.2">
      <c r="A26" s="9" t="s">
        <v>61</v>
      </c>
      <c r="B26" s="9" t="s">
        <v>62</v>
      </c>
      <c r="C26" s="21">
        <v>1</v>
      </c>
      <c r="D26" s="11" t="s">
        <v>88</v>
      </c>
      <c r="E26" s="22" t="s">
        <v>103</v>
      </c>
      <c r="F26" s="13">
        <v>4</v>
      </c>
      <c r="G26" s="23" t="s">
        <v>82</v>
      </c>
      <c r="H26" s="24">
        <v>17911.650000000001</v>
      </c>
      <c r="I26" s="19">
        <f t="shared" si="0"/>
        <v>4477.9125000000004</v>
      </c>
      <c r="J26" s="34"/>
      <c r="K26" s="37">
        <f t="shared" si="1"/>
        <v>4477.9125000000004</v>
      </c>
      <c r="L26" s="38">
        <f t="shared" si="2"/>
        <v>17911.650000000001</v>
      </c>
    </row>
    <row r="27" spans="1:12" x14ac:dyDescent="0.2">
      <c r="H27" s="26"/>
      <c r="K27">
        <f>SUM(K2:K26)</f>
        <v>74103.322500000009</v>
      </c>
      <c r="L27">
        <f>SUM(L2:L26)</f>
        <v>296413.29000000004</v>
      </c>
    </row>
    <row r="28" spans="1:12" x14ac:dyDescent="0.2">
      <c r="I28" s="26">
        <f>SUM(I2:I27)</f>
        <v>74103.322500000009</v>
      </c>
    </row>
    <row r="31" spans="1:12" ht="16" thickBot="1" x14ac:dyDescent="0.25">
      <c r="K31" s="32">
        <f>SUM(I2:I27)</f>
        <v>74103.322500000009</v>
      </c>
      <c r="L31">
        <f>L27/4</f>
        <v>74103.322500000009</v>
      </c>
    </row>
    <row r="33" spans="11:11" x14ac:dyDescent="0.2">
      <c r="K33" s="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F30"/>
  <sheetViews>
    <sheetView workbookViewId="0">
      <selection activeCell="G32" sqref="G32"/>
    </sheetView>
  </sheetViews>
  <sheetFormatPr baseColWidth="10" defaultColWidth="8.83203125" defaultRowHeight="15" x14ac:dyDescent="0.2"/>
  <cols>
    <col min="1" max="1" width="18.1640625" customWidth="1"/>
    <col min="2" max="2" width="64.83203125" bestFit="1" customWidth="1"/>
    <col min="3" max="3" width="8.33203125" bestFit="1" customWidth="1"/>
    <col min="4" max="4" width="8.33203125" customWidth="1"/>
    <col min="5" max="5" width="14.1640625" customWidth="1"/>
    <col min="6" max="6" width="16.5" bestFit="1" customWidth="1"/>
  </cols>
  <sheetData>
    <row r="3" spans="1:6" x14ac:dyDescent="0.2">
      <c r="E3" s="25" t="s">
        <v>114</v>
      </c>
    </row>
    <row r="4" spans="1:6" x14ac:dyDescent="0.2">
      <c r="A4" s="25" t="s">
        <v>105</v>
      </c>
      <c r="B4" s="25" t="s">
        <v>106</v>
      </c>
      <c r="C4" s="25" t="s">
        <v>104</v>
      </c>
      <c r="D4" s="25" t="s">
        <v>107</v>
      </c>
      <c r="E4" t="s">
        <v>113</v>
      </c>
      <c r="F4" t="s">
        <v>115</v>
      </c>
    </row>
    <row r="5" spans="1:6" x14ac:dyDescent="0.2">
      <c r="A5" t="s">
        <v>66</v>
      </c>
      <c r="B5" t="s">
        <v>67</v>
      </c>
      <c r="C5">
        <v>1</v>
      </c>
      <c r="D5">
        <v>1</v>
      </c>
      <c r="E5">
        <v>3810</v>
      </c>
      <c r="F5" s="26">
        <v>3810</v>
      </c>
    </row>
    <row r="6" spans="1:6" x14ac:dyDescent="0.2">
      <c r="B6" t="s">
        <v>80</v>
      </c>
      <c r="C6">
        <v>4</v>
      </c>
      <c r="D6">
        <v>1</v>
      </c>
      <c r="E6">
        <v>1061</v>
      </c>
      <c r="F6" s="26">
        <v>4244</v>
      </c>
    </row>
    <row r="7" spans="1:6" x14ac:dyDescent="0.2">
      <c r="B7" t="s">
        <v>69</v>
      </c>
      <c r="C7">
        <v>24</v>
      </c>
      <c r="D7">
        <v>1</v>
      </c>
      <c r="E7">
        <v>10.69</v>
      </c>
      <c r="F7" s="26">
        <v>256.56</v>
      </c>
    </row>
    <row r="8" spans="1:6" x14ac:dyDescent="0.2">
      <c r="B8" t="s">
        <v>81</v>
      </c>
      <c r="C8">
        <v>1</v>
      </c>
      <c r="D8">
        <v>1</v>
      </c>
      <c r="E8">
        <v>200</v>
      </c>
      <c r="F8" s="26">
        <v>200</v>
      </c>
    </row>
    <row r="9" spans="1:6" x14ac:dyDescent="0.2">
      <c r="B9" t="s">
        <v>83</v>
      </c>
      <c r="C9">
        <v>1</v>
      </c>
      <c r="D9">
        <v>1</v>
      </c>
      <c r="E9">
        <v>17240.61</v>
      </c>
      <c r="F9" s="26">
        <v>17240.61</v>
      </c>
    </row>
    <row r="10" spans="1:6" x14ac:dyDescent="0.2">
      <c r="B10" t="s">
        <v>71</v>
      </c>
      <c r="C10">
        <v>168</v>
      </c>
      <c r="D10">
        <v>1</v>
      </c>
      <c r="E10">
        <v>21.28</v>
      </c>
      <c r="F10" s="26">
        <v>3575.04</v>
      </c>
    </row>
    <row r="11" spans="1:6" x14ac:dyDescent="0.2">
      <c r="B11" t="s">
        <v>84</v>
      </c>
      <c r="C11">
        <v>1</v>
      </c>
      <c r="D11">
        <v>1</v>
      </c>
      <c r="E11">
        <v>3075</v>
      </c>
      <c r="F11" s="26">
        <v>3075</v>
      </c>
    </row>
    <row r="12" spans="1:6" x14ac:dyDescent="0.2">
      <c r="A12" t="s">
        <v>88</v>
      </c>
      <c r="B12" t="s">
        <v>93</v>
      </c>
      <c r="C12">
        <v>1</v>
      </c>
      <c r="D12">
        <v>1</v>
      </c>
      <c r="E12">
        <v>263</v>
      </c>
      <c r="F12" s="26">
        <v>263</v>
      </c>
    </row>
    <row r="13" spans="1:6" x14ac:dyDescent="0.2">
      <c r="B13" t="s">
        <v>103</v>
      </c>
      <c r="C13">
        <v>1</v>
      </c>
      <c r="D13">
        <v>4</v>
      </c>
      <c r="E13">
        <v>17911.650000000001</v>
      </c>
      <c r="F13" s="26">
        <v>17911.650000000001</v>
      </c>
    </row>
    <row r="14" spans="1:6" x14ac:dyDescent="0.2">
      <c r="B14" t="s">
        <v>89</v>
      </c>
      <c r="C14">
        <v>1</v>
      </c>
      <c r="D14">
        <v>1</v>
      </c>
      <c r="E14">
        <v>103.64</v>
      </c>
      <c r="F14" s="26">
        <v>103.64</v>
      </c>
    </row>
    <row r="15" spans="1:6" x14ac:dyDescent="0.2">
      <c r="B15" t="s">
        <v>96</v>
      </c>
      <c r="C15">
        <v>3</v>
      </c>
      <c r="D15">
        <v>1</v>
      </c>
      <c r="E15">
        <v>220</v>
      </c>
      <c r="F15" s="26">
        <v>660</v>
      </c>
    </row>
    <row r="16" spans="1:6" x14ac:dyDescent="0.2">
      <c r="A16" t="s">
        <v>90</v>
      </c>
      <c r="B16" t="s">
        <v>91</v>
      </c>
      <c r="C16">
        <v>2</v>
      </c>
      <c r="D16">
        <v>1</v>
      </c>
      <c r="E16">
        <v>115.97</v>
      </c>
      <c r="F16" s="26">
        <v>231.94</v>
      </c>
    </row>
    <row r="17" spans="1:6" x14ac:dyDescent="0.2">
      <c r="B17" t="s">
        <v>98</v>
      </c>
      <c r="C17">
        <v>8</v>
      </c>
      <c r="D17">
        <v>1</v>
      </c>
      <c r="E17">
        <v>127</v>
      </c>
      <c r="F17" s="26">
        <v>1016</v>
      </c>
    </row>
    <row r="18" spans="1:6" x14ac:dyDescent="0.2">
      <c r="B18" t="s">
        <v>94</v>
      </c>
      <c r="C18">
        <v>1</v>
      </c>
      <c r="D18">
        <v>1</v>
      </c>
      <c r="E18">
        <v>948.54</v>
      </c>
      <c r="F18" s="26">
        <v>948.54</v>
      </c>
    </row>
    <row r="19" spans="1:6" x14ac:dyDescent="0.2">
      <c r="B19" t="s">
        <v>102</v>
      </c>
      <c r="C19">
        <v>2</v>
      </c>
      <c r="D19">
        <v>4</v>
      </c>
      <c r="E19">
        <v>1228</v>
      </c>
      <c r="F19" s="26">
        <v>2456</v>
      </c>
    </row>
    <row r="20" spans="1:6" x14ac:dyDescent="0.2">
      <c r="B20" t="s">
        <v>92</v>
      </c>
      <c r="C20">
        <v>1</v>
      </c>
      <c r="D20">
        <v>1</v>
      </c>
      <c r="E20">
        <v>62.85</v>
      </c>
      <c r="F20" s="26">
        <v>62.85</v>
      </c>
    </row>
    <row r="21" spans="1:6" x14ac:dyDescent="0.2">
      <c r="A21" t="s">
        <v>60</v>
      </c>
      <c r="B21" t="s">
        <v>100</v>
      </c>
      <c r="C21">
        <v>2</v>
      </c>
      <c r="D21">
        <v>1</v>
      </c>
      <c r="E21">
        <v>251.03</v>
      </c>
      <c r="F21" s="26">
        <v>502.06</v>
      </c>
    </row>
    <row r="22" spans="1:6" x14ac:dyDescent="0.2">
      <c r="B22" t="s">
        <v>78</v>
      </c>
      <c r="C22">
        <v>4</v>
      </c>
      <c r="D22">
        <v>1</v>
      </c>
      <c r="E22">
        <v>100</v>
      </c>
      <c r="F22" s="26">
        <v>400</v>
      </c>
    </row>
    <row r="23" spans="1:6" x14ac:dyDescent="0.2">
      <c r="B23" t="s">
        <v>101</v>
      </c>
      <c r="C23">
        <v>4</v>
      </c>
      <c r="D23">
        <v>1</v>
      </c>
      <c r="E23">
        <v>695</v>
      </c>
      <c r="F23" s="26">
        <v>2780</v>
      </c>
    </row>
    <row r="24" spans="1:6" x14ac:dyDescent="0.2">
      <c r="B24" t="s">
        <v>60</v>
      </c>
      <c r="C24">
        <v>1</v>
      </c>
      <c r="D24">
        <v>1</v>
      </c>
      <c r="E24">
        <v>5000</v>
      </c>
      <c r="F24" s="26">
        <v>5000</v>
      </c>
    </row>
    <row r="25" spans="1:6" x14ac:dyDescent="0.2">
      <c r="A25" t="s">
        <v>63</v>
      </c>
      <c r="B25" t="s">
        <v>64</v>
      </c>
      <c r="C25">
        <v>1</v>
      </c>
      <c r="D25">
        <v>1</v>
      </c>
      <c r="E25">
        <v>5739.17</v>
      </c>
      <c r="F25" s="26">
        <v>5739.17</v>
      </c>
    </row>
    <row r="26" spans="1:6" x14ac:dyDescent="0.2">
      <c r="B26" t="s">
        <v>86</v>
      </c>
      <c r="C26">
        <v>1</v>
      </c>
      <c r="D26">
        <v>1</v>
      </c>
      <c r="E26">
        <v>459</v>
      </c>
      <c r="F26" s="26">
        <v>459</v>
      </c>
    </row>
    <row r="27" spans="1:6" x14ac:dyDescent="0.2">
      <c r="A27" t="s">
        <v>73</v>
      </c>
      <c r="B27" t="s">
        <v>74</v>
      </c>
      <c r="C27">
        <v>1</v>
      </c>
      <c r="D27">
        <v>1</v>
      </c>
      <c r="E27">
        <v>5496</v>
      </c>
      <c r="F27" s="26">
        <v>5496</v>
      </c>
    </row>
    <row r="28" spans="1:6" x14ac:dyDescent="0.2">
      <c r="B28" t="s">
        <v>87</v>
      </c>
      <c r="C28">
        <v>1</v>
      </c>
      <c r="D28">
        <v>1</v>
      </c>
      <c r="E28">
        <v>948</v>
      </c>
      <c r="F28" s="26">
        <v>948</v>
      </c>
    </row>
    <row r="29" spans="1:6" x14ac:dyDescent="0.2">
      <c r="A29" t="s">
        <v>59</v>
      </c>
      <c r="B29" t="s">
        <v>76</v>
      </c>
      <c r="C29">
        <v>4</v>
      </c>
      <c r="D29">
        <v>1</v>
      </c>
      <c r="E29">
        <v>3000</v>
      </c>
      <c r="F29" s="26">
        <v>12000</v>
      </c>
    </row>
    <row r="30" spans="1:6" x14ac:dyDescent="0.2">
      <c r="A30" t="s">
        <v>112</v>
      </c>
      <c r="E30">
        <v>68087.429999999993</v>
      </c>
      <c r="F30" s="26">
        <v>16272895.769999998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7"/>
  <sheetViews>
    <sheetView topLeftCell="A7" workbookViewId="0">
      <selection activeCell="C29" sqref="C29"/>
    </sheetView>
  </sheetViews>
  <sheetFormatPr baseColWidth="10" defaultColWidth="8.83203125" defaultRowHeight="15" x14ac:dyDescent="0.2"/>
  <cols>
    <col min="3" max="3" width="11.5" customWidth="1"/>
    <col min="6" max="6" width="19.5" customWidth="1"/>
    <col min="7" max="8" width="10.1640625" bestFit="1" customWidth="1"/>
  </cols>
  <sheetData>
    <row r="1" spans="1:8" x14ac:dyDescent="0.2">
      <c r="A1" t="s">
        <v>108</v>
      </c>
      <c r="B1" t="s">
        <v>104</v>
      </c>
      <c r="C1" t="s">
        <v>105</v>
      </c>
      <c r="D1" t="s">
        <v>106</v>
      </c>
      <c r="E1" t="s">
        <v>107</v>
      </c>
      <c r="F1" t="s">
        <v>109</v>
      </c>
      <c r="G1" t="s">
        <v>110</v>
      </c>
      <c r="H1" t="s">
        <v>111</v>
      </c>
    </row>
    <row r="2" spans="1:8" x14ac:dyDescent="0.2">
      <c r="A2" s="9" t="s">
        <v>61</v>
      </c>
      <c r="B2" s="10">
        <v>1</v>
      </c>
      <c r="C2" s="11" t="s">
        <v>63</v>
      </c>
      <c r="D2" s="12" t="s">
        <v>64</v>
      </c>
      <c r="E2" s="13">
        <v>1</v>
      </c>
      <c r="F2" s="14" t="s">
        <v>65</v>
      </c>
      <c r="G2" s="15">
        <v>5739.17</v>
      </c>
      <c r="H2" s="16">
        <f>G2*B2/E2</f>
        <v>5739.17</v>
      </c>
    </row>
    <row r="3" spans="1:8" x14ac:dyDescent="0.2">
      <c r="A3" s="9" t="s">
        <v>61</v>
      </c>
      <c r="B3" s="10">
        <v>1</v>
      </c>
      <c r="C3" s="11" t="s">
        <v>66</v>
      </c>
      <c r="D3" s="17" t="s">
        <v>67</v>
      </c>
      <c r="E3" s="13">
        <v>1</v>
      </c>
      <c r="F3" s="14" t="s">
        <v>68</v>
      </c>
      <c r="G3" s="18">
        <v>3810</v>
      </c>
      <c r="H3" s="19">
        <f t="shared" ref="H3:H26" si="0">G3*B3/E3</f>
        <v>3810</v>
      </c>
    </row>
    <row r="4" spans="1:8" x14ac:dyDescent="0.2">
      <c r="A4" s="9" t="s">
        <v>61</v>
      </c>
      <c r="B4" s="10">
        <v>24</v>
      </c>
      <c r="C4" s="11" t="s">
        <v>66</v>
      </c>
      <c r="D4" s="17" t="s">
        <v>69</v>
      </c>
      <c r="E4" s="13">
        <v>1</v>
      </c>
      <c r="F4" s="14" t="s">
        <v>70</v>
      </c>
      <c r="G4" s="18">
        <v>10.69</v>
      </c>
      <c r="H4" s="19">
        <f t="shared" si="0"/>
        <v>256.56</v>
      </c>
    </row>
    <row r="5" spans="1:8" x14ac:dyDescent="0.2">
      <c r="A5" s="9" t="s">
        <v>61</v>
      </c>
      <c r="B5" s="10">
        <v>168</v>
      </c>
      <c r="C5" s="11" t="s">
        <v>66</v>
      </c>
      <c r="D5" s="17" t="s">
        <v>71</v>
      </c>
      <c r="E5" s="13">
        <v>1</v>
      </c>
      <c r="F5" s="14" t="s">
        <v>72</v>
      </c>
      <c r="G5" s="18">
        <v>21.28</v>
      </c>
      <c r="H5" s="19">
        <f t="shared" si="0"/>
        <v>3575.04</v>
      </c>
    </row>
    <row r="6" spans="1:8" x14ac:dyDescent="0.2">
      <c r="A6" s="9" t="s">
        <v>61</v>
      </c>
      <c r="B6" s="10">
        <v>1</v>
      </c>
      <c r="C6" s="11" t="s">
        <v>73</v>
      </c>
      <c r="D6" s="17" t="s">
        <v>74</v>
      </c>
      <c r="E6" s="13">
        <v>1</v>
      </c>
      <c r="F6" s="14" t="s">
        <v>75</v>
      </c>
      <c r="G6" s="18">
        <v>5496</v>
      </c>
      <c r="H6" s="19">
        <f t="shared" si="0"/>
        <v>5496</v>
      </c>
    </row>
    <row r="7" spans="1:8" x14ac:dyDescent="0.2">
      <c r="A7" s="9" t="s">
        <v>61</v>
      </c>
      <c r="B7" s="10">
        <v>4</v>
      </c>
      <c r="C7" s="11" t="s">
        <v>59</v>
      </c>
      <c r="D7" s="17" t="s">
        <v>76</v>
      </c>
      <c r="E7" s="13">
        <v>1</v>
      </c>
      <c r="F7" s="14" t="s">
        <v>77</v>
      </c>
      <c r="G7" s="18">
        <v>3000</v>
      </c>
      <c r="H7" s="19">
        <f t="shared" si="0"/>
        <v>12000</v>
      </c>
    </row>
    <row r="8" spans="1:8" x14ac:dyDescent="0.2">
      <c r="A8" s="9" t="s">
        <v>61</v>
      </c>
      <c r="B8" s="10">
        <v>4</v>
      </c>
      <c r="C8" s="11" t="s">
        <v>60</v>
      </c>
      <c r="D8" s="17" t="s">
        <v>78</v>
      </c>
      <c r="E8" s="13">
        <v>1</v>
      </c>
      <c r="F8" s="14" t="s">
        <v>79</v>
      </c>
      <c r="G8" s="18">
        <v>100</v>
      </c>
      <c r="H8" s="19">
        <f t="shared" si="0"/>
        <v>400</v>
      </c>
    </row>
    <row r="9" spans="1:8" x14ac:dyDescent="0.2">
      <c r="A9" s="9" t="s">
        <v>61</v>
      </c>
      <c r="B9" s="10">
        <v>4</v>
      </c>
      <c r="C9" s="11" t="s">
        <v>66</v>
      </c>
      <c r="D9" s="17" t="s">
        <v>80</v>
      </c>
      <c r="E9" s="13">
        <v>1</v>
      </c>
      <c r="F9" s="14" t="s">
        <v>70</v>
      </c>
      <c r="G9" s="18">
        <v>1061</v>
      </c>
      <c r="H9" s="19">
        <f t="shared" si="0"/>
        <v>4244</v>
      </c>
    </row>
    <row r="10" spans="1:8" x14ac:dyDescent="0.2">
      <c r="A10" s="9" t="s">
        <v>61</v>
      </c>
      <c r="B10" s="10">
        <v>1</v>
      </c>
      <c r="C10" s="11" t="s">
        <v>66</v>
      </c>
      <c r="D10" s="17" t="s">
        <v>81</v>
      </c>
      <c r="E10" s="13">
        <v>1</v>
      </c>
      <c r="F10" s="14" t="s">
        <v>82</v>
      </c>
      <c r="G10" s="18">
        <v>200</v>
      </c>
      <c r="H10" s="19">
        <f t="shared" si="0"/>
        <v>200</v>
      </c>
    </row>
    <row r="11" spans="1:8" x14ac:dyDescent="0.2">
      <c r="A11" s="9" t="s">
        <v>61</v>
      </c>
      <c r="B11" s="10">
        <v>1</v>
      </c>
      <c r="C11" s="11" t="s">
        <v>66</v>
      </c>
      <c r="D11" s="17" t="s">
        <v>83</v>
      </c>
      <c r="E11" s="13">
        <v>1</v>
      </c>
      <c r="F11" s="14" t="s">
        <v>72</v>
      </c>
      <c r="G11" s="18">
        <v>17240.61</v>
      </c>
      <c r="H11" s="19">
        <f t="shared" si="0"/>
        <v>17240.61</v>
      </c>
    </row>
    <row r="12" spans="1:8" x14ac:dyDescent="0.2">
      <c r="A12" s="9" t="s">
        <v>61</v>
      </c>
      <c r="B12" s="10">
        <v>1</v>
      </c>
      <c r="C12" s="11" t="s">
        <v>66</v>
      </c>
      <c r="D12" s="17" t="s">
        <v>84</v>
      </c>
      <c r="E12" s="13">
        <v>1</v>
      </c>
      <c r="F12" s="14" t="s">
        <v>85</v>
      </c>
      <c r="G12" s="18">
        <v>3075</v>
      </c>
      <c r="H12" s="19">
        <f t="shared" si="0"/>
        <v>3075</v>
      </c>
    </row>
    <row r="13" spans="1:8" x14ac:dyDescent="0.2">
      <c r="A13" s="9" t="s">
        <v>61</v>
      </c>
      <c r="B13" s="10">
        <v>1</v>
      </c>
      <c r="C13" s="20" t="s">
        <v>63</v>
      </c>
      <c r="D13" s="17" t="s">
        <v>86</v>
      </c>
      <c r="E13" s="13">
        <v>1</v>
      </c>
      <c r="F13" s="14" t="s">
        <v>70</v>
      </c>
      <c r="G13" s="18">
        <v>459</v>
      </c>
      <c r="H13" s="19">
        <f t="shared" si="0"/>
        <v>459</v>
      </c>
    </row>
    <row r="14" spans="1:8" x14ac:dyDescent="0.2">
      <c r="A14" s="9" t="s">
        <v>61</v>
      </c>
      <c r="B14" s="10">
        <v>1</v>
      </c>
      <c r="C14" s="11" t="s">
        <v>73</v>
      </c>
      <c r="D14" s="17" t="s">
        <v>87</v>
      </c>
      <c r="E14" s="13">
        <v>1</v>
      </c>
      <c r="F14" s="14" t="s">
        <v>70</v>
      </c>
      <c r="G14" s="18">
        <v>948</v>
      </c>
      <c r="H14" s="19">
        <f t="shared" si="0"/>
        <v>948</v>
      </c>
    </row>
    <row r="15" spans="1:8" x14ac:dyDescent="0.2">
      <c r="A15" s="9" t="s">
        <v>61</v>
      </c>
      <c r="B15" s="10">
        <v>1</v>
      </c>
      <c r="C15" s="11" t="s">
        <v>88</v>
      </c>
      <c r="D15" s="17" t="s">
        <v>89</v>
      </c>
      <c r="E15" s="13">
        <v>1</v>
      </c>
      <c r="F15" s="14" t="s">
        <v>70</v>
      </c>
      <c r="G15" s="18">
        <v>103.64</v>
      </c>
      <c r="H15" s="19">
        <f t="shared" si="0"/>
        <v>103.64</v>
      </c>
    </row>
    <row r="16" spans="1:8" x14ac:dyDescent="0.2">
      <c r="A16" s="9" t="s">
        <v>61</v>
      </c>
      <c r="B16" s="10">
        <v>2</v>
      </c>
      <c r="C16" s="11" t="s">
        <v>90</v>
      </c>
      <c r="D16" s="17" t="s">
        <v>91</v>
      </c>
      <c r="E16" s="13">
        <v>1</v>
      </c>
      <c r="F16" s="14" t="s">
        <v>70</v>
      </c>
      <c r="G16" s="18">
        <v>115.97</v>
      </c>
      <c r="H16" s="19">
        <f t="shared" si="0"/>
        <v>231.94</v>
      </c>
    </row>
    <row r="17" spans="1:8" x14ac:dyDescent="0.2">
      <c r="A17" s="9" t="s">
        <v>61</v>
      </c>
      <c r="B17" s="10">
        <v>1</v>
      </c>
      <c r="C17" s="11" t="s">
        <v>90</v>
      </c>
      <c r="D17" s="17" t="s">
        <v>92</v>
      </c>
      <c r="E17" s="13">
        <v>1</v>
      </c>
      <c r="F17" s="14" t="s">
        <v>70</v>
      </c>
      <c r="G17" s="18">
        <v>62.85</v>
      </c>
      <c r="H17" s="19">
        <f t="shared" si="0"/>
        <v>62.85</v>
      </c>
    </row>
    <row r="18" spans="1:8" x14ac:dyDescent="0.2">
      <c r="A18" s="9" t="s">
        <v>61</v>
      </c>
      <c r="B18" s="10">
        <v>1</v>
      </c>
      <c r="C18" s="11" t="s">
        <v>88</v>
      </c>
      <c r="D18" s="17" t="s">
        <v>93</v>
      </c>
      <c r="E18" s="13">
        <v>1</v>
      </c>
      <c r="F18" s="14" t="s">
        <v>70</v>
      </c>
      <c r="G18" s="18">
        <v>263</v>
      </c>
      <c r="H18" s="19">
        <f t="shared" si="0"/>
        <v>263</v>
      </c>
    </row>
    <row r="19" spans="1:8" x14ac:dyDescent="0.2">
      <c r="A19" s="9" t="s">
        <v>61</v>
      </c>
      <c r="B19" s="10">
        <v>1</v>
      </c>
      <c r="C19" s="11" t="s">
        <v>90</v>
      </c>
      <c r="D19" s="17" t="s">
        <v>94</v>
      </c>
      <c r="E19" s="13">
        <v>1</v>
      </c>
      <c r="F19" s="14" t="s">
        <v>95</v>
      </c>
      <c r="G19" s="18">
        <v>948.54</v>
      </c>
      <c r="H19" s="19">
        <f t="shared" si="0"/>
        <v>948.54</v>
      </c>
    </row>
    <row r="20" spans="1:8" x14ac:dyDescent="0.2">
      <c r="A20" s="9" t="s">
        <v>61</v>
      </c>
      <c r="B20" s="10">
        <v>3</v>
      </c>
      <c r="C20" s="11" t="s">
        <v>88</v>
      </c>
      <c r="D20" s="17" t="s">
        <v>96</v>
      </c>
      <c r="E20" s="13">
        <v>1</v>
      </c>
      <c r="F20" s="14" t="s">
        <v>97</v>
      </c>
      <c r="G20" s="18">
        <v>220</v>
      </c>
      <c r="H20" s="19">
        <f t="shared" si="0"/>
        <v>660</v>
      </c>
    </row>
    <row r="21" spans="1:8" x14ac:dyDescent="0.2">
      <c r="A21" s="9" t="s">
        <v>61</v>
      </c>
      <c r="B21" s="10">
        <v>8</v>
      </c>
      <c r="C21" s="11" t="s">
        <v>90</v>
      </c>
      <c r="D21" s="17" t="s">
        <v>98</v>
      </c>
      <c r="E21" s="13">
        <v>1</v>
      </c>
      <c r="F21" s="14" t="s">
        <v>99</v>
      </c>
      <c r="G21" s="18">
        <v>127</v>
      </c>
      <c r="H21" s="19">
        <f t="shared" si="0"/>
        <v>1016</v>
      </c>
    </row>
    <row r="22" spans="1:8" x14ac:dyDescent="0.2">
      <c r="A22" s="9" t="s">
        <v>61</v>
      </c>
      <c r="B22" s="10">
        <v>2</v>
      </c>
      <c r="C22" s="11" t="s">
        <v>60</v>
      </c>
      <c r="D22" s="17" t="s">
        <v>100</v>
      </c>
      <c r="E22" s="13">
        <v>1</v>
      </c>
      <c r="F22" s="14" t="s">
        <v>70</v>
      </c>
      <c r="G22" s="18">
        <v>251.03</v>
      </c>
      <c r="H22" s="19">
        <f t="shared" si="0"/>
        <v>502.06</v>
      </c>
    </row>
    <row r="23" spans="1:8" x14ac:dyDescent="0.2">
      <c r="A23" s="9" t="s">
        <v>61</v>
      </c>
      <c r="B23" s="10">
        <v>4</v>
      </c>
      <c r="C23" s="11" t="s">
        <v>60</v>
      </c>
      <c r="D23" s="17" t="s">
        <v>101</v>
      </c>
      <c r="E23" s="13">
        <v>1</v>
      </c>
      <c r="F23" s="14" t="s">
        <v>70</v>
      </c>
      <c r="G23" s="18">
        <v>695</v>
      </c>
      <c r="H23" s="19">
        <f t="shared" si="0"/>
        <v>2780</v>
      </c>
    </row>
    <row r="24" spans="1:8" x14ac:dyDescent="0.2">
      <c r="A24" s="9" t="s">
        <v>61</v>
      </c>
      <c r="B24" s="10">
        <v>1</v>
      </c>
      <c r="C24" s="11" t="s">
        <v>60</v>
      </c>
      <c r="D24" s="12" t="s">
        <v>60</v>
      </c>
      <c r="E24" s="13">
        <v>1</v>
      </c>
      <c r="F24" s="14" t="s">
        <v>82</v>
      </c>
      <c r="G24" s="15">
        <v>5000</v>
      </c>
      <c r="H24" s="16">
        <f t="shared" si="0"/>
        <v>5000</v>
      </c>
    </row>
    <row r="25" spans="1:8" x14ac:dyDescent="0.2">
      <c r="A25" s="9" t="s">
        <v>61</v>
      </c>
      <c r="B25" s="10">
        <v>2</v>
      </c>
      <c r="C25" s="11" t="s">
        <v>90</v>
      </c>
      <c r="D25" s="12" t="s">
        <v>102</v>
      </c>
      <c r="E25" s="13">
        <v>4</v>
      </c>
      <c r="F25" s="14" t="s">
        <v>70</v>
      </c>
      <c r="G25" s="15">
        <v>1228</v>
      </c>
      <c r="H25" s="16">
        <f t="shared" si="0"/>
        <v>614</v>
      </c>
    </row>
    <row r="26" spans="1:8" x14ac:dyDescent="0.2">
      <c r="A26" s="9" t="s">
        <v>61</v>
      </c>
      <c r="B26" s="21">
        <v>1</v>
      </c>
      <c r="C26" s="11" t="s">
        <v>88</v>
      </c>
      <c r="D26" s="22" t="s">
        <v>103</v>
      </c>
      <c r="E26" s="13">
        <v>4</v>
      </c>
      <c r="F26" s="23" t="s">
        <v>82</v>
      </c>
      <c r="G26" s="24">
        <v>17911.650000000001</v>
      </c>
      <c r="H26" s="19">
        <f t="shared" si="0"/>
        <v>4477.9125000000004</v>
      </c>
    </row>
    <row r="27" spans="1:8" x14ac:dyDescent="0.2">
      <c r="H27" s="26">
        <f>SUM(H2:H26)</f>
        <v>74103.322500000009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Assumptions</vt:lpstr>
      <vt:lpstr>General Parameters</vt:lpstr>
      <vt:lpstr>Study Results</vt:lpstr>
      <vt:lpstr>Capital Costs</vt:lpstr>
      <vt:lpstr>Equipment</vt:lpstr>
      <vt:lpstr>Equip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azwem_000</dc:creator>
  <cp:lastModifiedBy>Microsoft Office User</cp:lastModifiedBy>
  <cp:lastPrinted>2023-06-14T15:19:32Z</cp:lastPrinted>
  <dcterms:created xsi:type="dcterms:W3CDTF">2013-05-01T16:02:00Z</dcterms:created>
  <dcterms:modified xsi:type="dcterms:W3CDTF">2023-06-23T15:25:24Z</dcterms:modified>
</cp:coreProperties>
</file>